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  <sheet name="Suivi Factures" sheetId="12" r:id="rId2"/>
    <sheet name="Ecart annuel" sheetId="15" r:id="rId3"/>
    <sheet name="Ecart annuel 2" sheetId="16" r:id="rId4"/>
    <sheet name="MinMax HpHc cumul" sheetId="29" r:id="rId5"/>
    <sheet name="MinMax HpHc instantannées" sheetId="8" r:id="rId6"/>
    <sheet name="MinMax HpHc par heure instanta" sheetId="13" r:id="rId7"/>
    <sheet name="Cumul par année" sheetId="18" r:id="rId8"/>
    <sheet name="Moyenne par jour semaine" sheetId="26" r:id="rId9"/>
    <sheet name="Compare jour mois en cours" sheetId="23" r:id="rId10"/>
    <sheet name="Compare jour mois en cours 2" sheetId="32" r:id="rId11"/>
    <sheet name="Moy par mois" sheetId="27" r:id="rId12"/>
    <sheet name="Compare moy mois" sheetId="24" r:id="rId13"/>
    <sheet name="Total par année mois - inst" sheetId="31" r:id="rId14"/>
    <sheet name="Total par année mois" sheetId="30" r:id="rId15"/>
    <sheet name="Moy par année" sheetId="25" r:id="rId16"/>
  </sheets>
  <calcPr calcId="145621"/>
</workbook>
</file>

<file path=xl/calcChain.xml><?xml version="1.0" encoding="utf-8"?>
<calcChain xmlns="http://schemas.openxmlformats.org/spreadsheetml/2006/main">
  <c r="B16" i="7" l="1"/>
  <c r="C16" i="7" s="1"/>
  <c r="D16" i="7"/>
  <c r="G16" i="7" s="1"/>
  <c r="E16" i="7"/>
  <c r="H16" i="7" s="1"/>
  <c r="F16" i="7"/>
  <c r="I16" i="7"/>
  <c r="J16" i="7"/>
  <c r="K16" i="7"/>
  <c r="L16" i="7"/>
  <c r="Q16" i="7"/>
  <c r="S16" i="7"/>
  <c r="T16" i="7" s="1"/>
  <c r="W16" i="7"/>
  <c r="X16" i="7" l="1"/>
  <c r="Z16" i="7"/>
  <c r="AB16" i="7" s="1"/>
  <c r="AC16" i="7" l="1"/>
  <c r="AD16" i="7" s="1"/>
  <c r="B15" i="7"/>
  <c r="C15" i="7" s="1"/>
  <c r="D15" i="7"/>
  <c r="E15" i="7"/>
  <c r="F15" i="7"/>
  <c r="I15" i="7"/>
  <c r="J15" i="7"/>
  <c r="K15" i="7"/>
  <c r="L15" i="7"/>
  <c r="Q15" i="7"/>
  <c r="S15" i="7"/>
  <c r="W15" i="7"/>
  <c r="X15" i="7" s="1"/>
  <c r="B14" i="7"/>
  <c r="C14" i="7" s="1"/>
  <c r="D14" i="7"/>
  <c r="E14" i="7"/>
  <c r="F14" i="7"/>
  <c r="I14" i="7"/>
  <c r="J14" i="7"/>
  <c r="K14" i="7"/>
  <c r="L14" i="7"/>
  <c r="Q14" i="7"/>
  <c r="S14" i="7"/>
  <c r="T14" i="7" s="1"/>
  <c r="W14" i="7"/>
  <c r="B13" i="7"/>
  <c r="D13" i="7"/>
  <c r="E13" i="7"/>
  <c r="F13" i="7"/>
  <c r="I13" i="7"/>
  <c r="J13" i="7"/>
  <c r="K13" i="7"/>
  <c r="L13" i="7"/>
  <c r="Q13" i="7"/>
  <c r="S13" i="7"/>
  <c r="W13" i="7"/>
  <c r="H15" i="7" l="1"/>
  <c r="C13" i="7"/>
  <c r="X14" i="7"/>
  <c r="G15" i="7"/>
  <c r="H14" i="7"/>
  <c r="X13" i="7"/>
  <c r="H13" i="7"/>
  <c r="Z15" i="7"/>
  <c r="AC15" i="7" s="1"/>
  <c r="AD15" i="7" s="1"/>
  <c r="T15" i="7"/>
  <c r="G14" i="7"/>
  <c r="G13" i="7"/>
  <c r="Z14" i="7"/>
  <c r="Z13" i="7"/>
  <c r="AC13" i="7" s="1"/>
  <c r="AD13" i="7" s="1"/>
  <c r="T13" i="7"/>
  <c r="B12" i="7"/>
  <c r="C12" i="7" s="1"/>
  <c r="D12" i="7"/>
  <c r="E12" i="7"/>
  <c r="F12" i="7"/>
  <c r="I12" i="7"/>
  <c r="J12" i="7"/>
  <c r="K12" i="7"/>
  <c r="L12" i="7"/>
  <c r="Q12" i="7"/>
  <c r="S12" i="7"/>
  <c r="T12" i="7" s="1"/>
  <c r="W12" i="7"/>
  <c r="X12" i="7" l="1"/>
  <c r="AB15" i="7"/>
  <c r="G12" i="7"/>
  <c r="AB13" i="7"/>
  <c r="AC14" i="7"/>
  <c r="AD14" i="7" s="1"/>
  <c r="AB14" i="7"/>
  <c r="H12" i="7"/>
  <c r="Z12" i="7"/>
  <c r="AB12" i="7" s="1"/>
  <c r="B11" i="7"/>
  <c r="C11" i="7" s="1"/>
  <c r="D11" i="7"/>
  <c r="E11" i="7"/>
  <c r="F11" i="7"/>
  <c r="I11" i="7"/>
  <c r="J11" i="7"/>
  <c r="K11" i="7"/>
  <c r="L11" i="7"/>
  <c r="Q11" i="7"/>
  <c r="S11" i="7"/>
  <c r="T11" i="7" s="1"/>
  <c r="W11" i="7"/>
  <c r="B10" i="7"/>
  <c r="D10" i="7"/>
  <c r="E10" i="7"/>
  <c r="F10" i="7"/>
  <c r="I10" i="7"/>
  <c r="J10" i="7"/>
  <c r="K10" i="7"/>
  <c r="L10" i="7"/>
  <c r="Q10" i="7"/>
  <c r="S10" i="7"/>
  <c r="T10" i="7" s="1"/>
  <c r="W10" i="7"/>
  <c r="C10" i="7" l="1"/>
  <c r="G11" i="7"/>
  <c r="AC12" i="7"/>
  <c r="AD12" i="7" s="1"/>
  <c r="X11" i="7"/>
  <c r="H11" i="7"/>
  <c r="G10" i="7"/>
  <c r="Z11" i="7"/>
  <c r="X10" i="7"/>
  <c r="H10" i="7"/>
  <c r="Z10" i="7"/>
  <c r="B9" i="7"/>
  <c r="C9" i="7" s="1"/>
  <c r="D9" i="7"/>
  <c r="E9" i="7"/>
  <c r="F9" i="7"/>
  <c r="I9" i="7"/>
  <c r="J9" i="7"/>
  <c r="K9" i="7"/>
  <c r="L9" i="7"/>
  <c r="Q9" i="7"/>
  <c r="S9" i="7"/>
  <c r="W9" i="7"/>
  <c r="G9" i="7" l="1"/>
  <c r="H9" i="7"/>
  <c r="Z9" i="7"/>
  <c r="AB11" i="7"/>
  <c r="AC11" i="7"/>
  <c r="AD11" i="7" s="1"/>
  <c r="X9" i="7"/>
  <c r="T9" i="7"/>
  <c r="AB10" i="7"/>
  <c r="AC10" i="7"/>
  <c r="AD10" i="7" s="1"/>
  <c r="AC9" i="7"/>
  <c r="AD9" i="7" s="1"/>
  <c r="AB9" i="7"/>
  <c r="W7" i="7"/>
  <c r="W8" i="7"/>
  <c r="B8" i="7"/>
  <c r="C8" i="7" s="1"/>
  <c r="D8" i="7"/>
  <c r="E8" i="7"/>
  <c r="F8" i="7"/>
  <c r="I8" i="7"/>
  <c r="J8" i="7"/>
  <c r="K8" i="7"/>
  <c r="L8" i="7"/>
  <c r="Q8" i="7"/>
  <c r="S8" i="7"/>
  <c r="T8" i="7" s="1"/>
  <c r="G8" i="7" l="1"/>
  <c r="H8" i="7"/>
  <c r="X8" i="7"/>
  <c r="Z8" i="7"/>
  <c r="B7" i="7"/>
  <c r="C7" i="7" s="1"/>
  <c r="D7" i="7"/>
  <c r="E7" i="7"/>
  <c r="F7" i="7"/>
  <c r="I7" i="7"/>
  <c r="J7" i="7"/>
  <c r="X7" i="7" s="1"/>
  <c r="K7" i="7"/>
  <c r="L7" i="7"/>
  <c r="Q7" i="7"/>
  <c r="S7" i="7"/>
  <c r="T7" i="7" s="1"/>
  <c r="H7" i="7" l="1"/>
  <c r="G7" i="7"/>
  <c r="AB8" i="7"/>
  <c r="AC8" i="7"/>
  <c r="AD8" i="7" s="1"/>
  <c r="Z7" i="7"/>
  <c r="B6" i="7"/>
  <c r="C6" i="7" s="1"/>
  <c r="D6" i="7"/>
  <c r="E6" i="7"/>
  <c r="F6" i="7"/>
  <c r="I6" i="7"/>
  <c r="J6" i="7"/>
  <c r="K6" i="7"/>
  <c r="L6" i="7"/>
  <c r="Q6" i="7"/>
  <c r="S6" i="7"/>
  <c r="W6" i="7"/>
  <c r="G6" i="7" l="1"/>
  <c r="X6" i="7"/>
  <c r="H6" i="7"/>
  <c r="AB7" i="7"/>
  <c r="AC7" i="7"/>
  <c r="AD7" i="7" s="1"/>
  <c r="Z6" i="7"/>
  <c r="AC6" i="7" s="1"/>
  <c r="AD6" i="7" s="1"/>
  <c r="T6" i="7"/>
  <c r="B5" i="7"/>
  <c r="C5" i="7" s="1"/>
  <c r="D5" i="7"/>
  <c r="E5" i="7"/>
  <c r="F5" i="7"/>
  <c r="I5" i="7"/>
  <c r="J5" i="7"/>
  <c r="K5" i="7"/>
  <c r="L5" i="7"/>
  <c r="Q5" i="7"/>
  <c r="S5" i="7"/>
  <c r="T5" i="7" s="1"/>
  <c r="W5" i="7"/>
  <c r="B4" i="7"/>
  <c r="D4" i="7"/>
  <c r="E4" i="7"/>
  <c r="F4" i="7"/>
  <c r="I4" i="7"/>
  <c r="J4" i="7"/>
  <c r="K4" i="7"/>
  <c r="L4" i="7"/>
  <c r="Q4" i="7"/>
  <c r="S4" i="7"/>
  <c r="T4" i="7" s="1"/>
  <c r="W4" i="7"/>
  <c r="C4" i="7" l="1"/>
  <c r="X5" i="7"/>
  <c r="H5" i="7"/>
  <c r="X4" i="7"/>
  <c r="AB6" i="7"/>
  <c r="H4" i="7"/>
  <c r="G5" i="7"/>
  <c r="G4" i="7"/>
  <c r="Z5" i="7"/>
  <c r="Z4" i="7"/>
  <c r="AC5" i="7" l="1"/>
  <c r="AD5" i="7" s="1"/>
  <c r="AB5" i="7"/>
  <c r="AB4" i="7"/>
  <c r="AC4" i="7"/>
  <c r="AD4" i="7" s="1"/>
  <c r="O12" i="12" l="1"/>
  <c r="O13" i="12"/>
  <c r="O14" i="12"/>
  <c r="O5" i="12"/>
  <c r="O6" i="12"/>
  <c r="O7" i="12"/>
  <c r="O8" i="12"/>
  <c r="O9" i="12"/>
  <c r="O10" i="12"/>
  <c r="O15" i="12"/>
  <c r="O16" i="12"/>
  <c r="O17" i="12"/>
  <c r="O18" i="12"/>
  <c r="O19" i="12"/>
  <c r="O20" i="12"/>
  <c r="O21" i="12"/>
  <c r="O22" i="12"/>
  <c r="O23" i="12"/>
  <c r="I3" i="12"/>
  <c r="J3" i="12" s="1"/>
  <c r="K3" i="12" s="1"/>
  <c r="L3" i="12"/>
  <c r="M3" i="12"/>
  <c r="AB3" i="12"/>
  <c r="AC3" i="12" s="1"/>
  <c r="AD3" i="12" s="1"/>
  <c r="I4" i="12"/>
  <c r="J4" i="12" s="1"/>
  <c r="K4" i="12" s="1"/>
  <c r="L4" i="12"/>
  <c r="M4" i="12"/>
  <c r="AB4" i="12"/>
  <c r="AC4" i="12" s="1"/>
  <c r="AD4" i="12" s="1"/>
  <c r="I5" i="12"/>
  <c r="J5" i="12" s="1"/>
  <c r="K5" i="12" s="1"/>
  <c r="L5" i="12"/>
  <c r="M5" i="12"/>
  <c r="AB5" i="12"/>
  <c r="AC5" i="12" s="1"/>
  <c r="AD5" i="12" s="1"/>
  <c r="I8" i="12"/>
  <c r="J8" i="12" s="1"/>
  <c r="K8" i="12" s="1"/>
  <c r="L8" i="12"/>
  <c r="M8" i="12"/>
  <c r="AB8" i="12"/>
  <c r="AC8" i="12" s="1"/>
  <c r="AD8" i="12" s="1"/>
  <c r="AA8" i="12"/>
  <c r="E11" i="12"/>
  <c r="M11" i="12" s="1"/>
  <c r="C11" i="12"/>
  <c r="I6" i="12"/>
  <c r="J6" i="12" s="1"/>
  <c r="K6" i="12" s="1"/>
  <c r="L6" i="12"/>
  <c r="M6" i="12"/>
  <c r="AB6" i="12"/>
  <c r="AC6" i="12" s="1"/>
  <c r="AD6" i="12" s="1"/>
  <c r="I7" i="12"/>
  <c r="J7" i="12" s="1"/>
  <c r="K7" i="12" s="1"/>
  <c r="L7" i="12"/>
  <c r="M7" i="12"/>
  <c r="AB7" i="12"/>
  <c r="AC7" i="12" s="1"/>
  <c r="AD7" i="12" s="1"/>
  <c r="AA7" i="12"/>
  <c r="I9" i="12"/>
  <c r="J9" i="12" s="1"/>
  <c r="K9" i="12" s="1"/>
  <c r="L9" i="12"/>
  <c r="M9" i="12"/>
  <c r="AB9" i="12"/>
  <c r="AC9" i="12" s="1"/>
  <c r="AD9" i="12" s="1"/>
  <c r="I10" i="12"/>
  <c r="J10" i="12" s="1"/>
  <c r="K10" i="12" s="1"/>
  <c r="L10" i="12"/>
  <c r="M10" i="12"/>
  <c r="AB10" i="12"/>
  <c r="AC10" i="12" s="1"/>
  <c r="AD10" i="12" s="1"/>
  <c r="AA10" i="12"/>
  <c r="I11" i="12"/>
  <c r="J11" i="12" s="1"/>
  <c r="K11" i="12" s="1"/>
  <c r="L11" i="12"/>
  <c r="AB11" i="12"/>
  <c r="AC11" i="12" s="1"/>
  <c r="AD11" i="12" s="1"/>
  <c r="X4" i="12" l="1"/>
  <c r="Y4" i="12" s="1"/>
  <c r="X3" i="12"/>
  <c r="Y3" i="12" s="1"/>
  <c r="X5" i="12"/>
  <c r="Y5" i="12" s="1"/>
  <c r="AA4" i="12"/>
  <c r="X11" i="12"/>
  <c r="Y11" i="12" s="1"/>
  <c r="AA3" i="12"/>
  <c r="S3" i="12"/>
  <c r="U3" i="12" s="1"/>
  <c r="Q3" i="12"/>
  <c r="R3" i="12" s="1"/>
  <c r="S4" i="12"/>
  <c r="U4" i="12" s="1"/>
  <c r="S5" i="12"/>
  <c r="U5" i="12" s="1"/>
  <c r="Q5" i="12"/>
  <c r="R5" i="12" s="1"/>
  <c r="S8" i="12"/>
  <c r="AA5" i="12"/>
  <c r="X8" i="12"/>
  <c r="Y8" i="12" s="1"/>
  <c r="Q8" i="12"/>
  <c r="R8" i="12" s="1"/>
  <c r="X6" i="12"/>
  <c r="Y6" i="12" s="1"/>
  <c r="Q6" i="12"/>
  <c r="R6" i="12" s="1"/>
  <c r="S9" i="12"/>
  <c r="U9" i="12" s="1"/>
  <c r="AA6" i="12"/>
  <c r="X7" i="12"/>
  <c r="Y7" i="12" s="1"/>
  <c r="X9" i="12"/>
  <c r="Y9" i="12" s="1"/>
  <c r="S7" i="12"/>
  <c r="U7" i="12" s="1"/>
  <c r="Q7" i="12"/>
  <c r="R7" i="12" s="1"/>
  <c r="AA9" i="12"/>
  <c r="N11" i="12"/>
  <c r="S11" i="12" s="1"/>
  <c r="U11" i="12" s="1"/>
  <c r="X10" i="12"/>
  <c r="Y10" i="12" s="1"/>
  <c r="S10" i="12"/>
  <c r="U10" i="12" s="1"/>
  <c r="Q10" i="12"/>
  <c r="R10" i="12" s="1"/>
  <c r="AA11" i="12"/>
  <c r="AE5" i="12" l="1"/>
  <c r="AF5" i="12" s="1"/>
  <c r="AG5" i="12" s="1"/>
  <c r="Q9" i="12"/>
  <c r="R9" i="12" s="1"/>
  <c r="Q4" i="12"/>
  <c r="R4" i="12" s="1"/>
  <c r="AE3" i="12"/>
  <c r="AF3" i="12" s="1"/>
  <c r="AG3" i="12" s="1"/>
  <c r="AE4" i="12"/>
  <c r="AF4" i="12" s="1"/>
  <c r="AG4" i="12" s="1"/>
  <c r="AE8" i="12"/>
  <c r="AF8" i="12" s="1"/>
  <c r="AG8" i="12" s="1"/>
  <c r="S6" i="12"/>
  <c r="Q11" i="12"/>
  <c r="R11" i="12" s="1"/>
  <c r="AE10" i="12"/>
  <c r="AF10" i="12" s="1"/>
  <c r="AG10" i="12" s="1"/>
  <c r="AE7" i="12"/>
  <c r="AF7" i="12" s="1"/>
  <c r="AG7" i="12" s="1"/>
  <c r="AE9" i="12"/>
  <c r="AF9" i="12" s="1"/>
  <c r="AG9" i="12" s="1"/>
  <c r="AE11" i="12"/>
  <c r="AF11" i="12" s="1"/>
  <c r="AG11" i="12" s="1"/>
  <c r="U6" i="12" l="1"/>
  <c r="U8" i="12"/>
  <c r="AE6" i="12"/>
  <c r="AF6" i="12" s="1"/>
  <c r="AG6" i="12" s="1"/>
  <c r="H23" i="12" l="1"/>
  <c r="I23" i="12"/>
  <c r="J23" i="12" s="1"/>
  <c r="K23" i="12" s="1"/>
  <c r="L23" i="12"/>
  <c r="M23" i="12"/>
  <c r="V23" i="12"/>
  <c r="N23" i="12" l="1"/>
  <c r="S23" i="12" l="1"/>
  <c r="Q23" i="12"/>
  <c r="R23" i="12" s="1"/>
  <c r="H22" i="12" l="1"/>
  <c r="I22" i="12"/>
  <c r="J22" i="12" s="1"/>
  <c r="K22" i="12" s="1"/>
  <c r="L22" i="12"/>
  <c r="M22" i="12"/>
  <c r="V22" i="12"/>
  <c r="N22" i="12" l="1"/>
  <c r="S22" i="12" s="1"/>
  <c r="Q22" i="12" l="1"/>
  <c r="R22" i="12" s="1"/>
  <c r="H21" i="12" l="1"/>
  <c r="I21" i="12"/>
  <c r="J21" i="12" s="1"/>
  <c r="K21" i="12" s="1"/>
  <c r="L21" i="12"/>
  <c r="M21" i="12"/>
  <c r="V21" i="12"/>
  <c r="N21" i="12" l="1"/>
  <c r="Q21" i="12" l="1"/>
  <c r="R21" i="12" s="1"/>
  <c r="S21" i="12"/>
  <c r="H20" i="12" l="1"/>
  <c r="I20" i="12"/>
  <c r="J20" i="12" s="1"/>
  <c r="K20" i="12" s="1"/>
  <c r="L20" i="12"/>
  <c r="M20" i="12"/>
  <c r="V20" i="12"/>
  <c r="N20" i="12" l="1"/>
  <c r="S20" i="12" l="1"/>
  <c r="T23" i="12" s="1"/>
  <c r="P23" i="12"/>
  <c r="Q20" i="12"/>
  <c r="R20" i="12" s="1"/>
  <c r="H19" i="12" l="1"/>
  <c r="I19" i="12"/>
  <c r="J19" i="12" s="1"/>
  <c r="K19" i="12" s="1"/>
  <c r="L19" i="12"/>
  <c r="M19" i="12"/>
  <c r="V19" i="12"/>
  <c r="N19" i="12" l="1"/>
  <c r="S19" i="12" s="1"/>
  <c r="T22" i="12" s="1"/>
  <c r="Q19" i="12" l="1"/>
  <c r="R19" i="12" s="1"/>
  <c r="P22" i="12"/>
  <c r="C2" i="18" l="1"/>
  <c r="C368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07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9" i="18"/>
  <c r="C8" i="18"/>
  <c r="C7" i="18"/>
  <c r="C6" i="18"/>
  <c r="C5" i="18"/>
  <c r="C4" i="18"/>
  <c r="C3" i="18"/>
  <c r="H17" i="12" l="1"/>
  <c r="H18" i="12"/>
  <c r="H16" i="12"/>
  <c r="F18" i="12" l="1"/>
  <c r="D18" i="12"/>
  <c r="L18" i="12" s="1"/>
  <c r="I18" i="12"/>
  <c r="J18" i="12" s="1"/>
  <c r="K18" i="12" s="1"/>
  <c r="M18" i="12"/>
  <c r="V18" i="12"/>
  <c r="N18" i="12" l="1"/>
  <c r="P21" i="12" s="1"/>
  <c r="Q18" i="12" l="1"/>
  <c r="R18" i="12" s="1"/>
  <c r="S18" i="12"/>
  <c r="T21" i="12" s="1"/>
  <c r="I17" i="12" l="1"/>
  <c r="J17" i="12" s="1"/>
  <c r="K17" i="12" s="1"/>
  <c r="L17" i="12"/>
  <c r="M17" i="12"/>
  <c r="V17" i="12"/>
  <c r="N17" i="12" l="1"/>
  <c r="P20" i="12" s="1"/>
  <c r="S17" i="12" l="1"/>
  <c r="T20" i="12" s="1"/>
  <c r="Q17" i="12"/>
  <c r="R17" i="12" s="1"/>
  <c r="I16" i="12" l="1"/>
  <c r="J16" i="12" s="1"/>
  <c r="K16" i="12" s="1"/>
  <c r="L16" i="12"/>
  <c r="M16" i="12"/>
  <c r="V16" i="12"/>
  <c r="N16" i="12" l="1"/>
  <c r="P19" i="12" s="1"/>
  <c r="S16" i="12" l="1"/>
  <c r="T19" i="12" s="1"/>
  <c r="Q16" i="12"/>
  <c r="R16" i="12" s="1"/>
  <c r="Z12" i="12" l="1"/>
  <c r="W12" i="12"/>
  <c r="V13" i="12"/>
  <c r="V14" i="12"/>
  <c r="V15" i="12"/>
  <c r="V12" i="12"/>
  <c r="Z13" i="12" l="1"/>
  <c r="AB13" i="12" s="1"/>
  <c r="AC13" i="12" s="1"/>
  <c r="AD13" i="12" s="1"/>
  <c r="AA12" i="12"/>
  <c r="X12" i="12"/>
  <c r="AB12" i="12"/>
  <c r="AC12" i="12" s="1"/>
  <c r="AD12" i="12" s="1"/>
  <c r="Y12" i="12" l="1"/>
  <c r="Z14" i="12"/>
  <c r="Z15" i="12" l="1"/>
  <c r="AB14" i="12"/>
  <c r="AC14" i="12" s="1"/>
  <c r="AD14" i="12" s="1"/>
  <c r="AB15" i="12" l="1"/>
  <c r="AC15" i="12" s="1"/>
  <c r="AD15" i="12" s="1"/>
  <c r="Z16" i="12"/>
  <c r="AB16" i="12" l="1"/>
  <c r="AC16" i="12" s="1"/>
  <c r="AD16" i="12" s="1"/>
  <c r="Z17" i="12"/>
  <c r="Z18" i="12" l="1"/>
  <c r="Z19" i="12" s="1"/>
  <c r="Z20" i="12" s="1"/>
  <c r="AB17" i="12"/>
  <c r="AC17" i="12" s="1"/>
  <c r="AD17" i="12" s="1"/>
  <c r="AB20" i="12" l="1"/>
  <c r="AC20" i="12" s="1"/>
  <c r="AD20" i="12" s="1"/>
  <c r="Z21" i="12"/>
  <c r="Z22" i="12" s="1"/>
  <c r="Z23" i="12" s="1"/>
  <c r="AB23" i="12" s="1"/>
  <c r="AB19" i="12"/>
  <c r="AC19" i="12" s="1"/>
  <c r="AD19" i="12" s="1"/>
  <c r="AB18" i="12"/>
  <c r="AC18" i="12" s="1"/>
  <c r="AD18" i="12" s="1"/>
  <c r="AB22" i="12" l="1"/>
  <c r="AC22" i="12" s="1"/>
  <c r="AD22" i="12" s="1"/>
  <c r="AB21" i="12"/>
  <c r="AC21" i="12" s="1"/>
  <c r="AD21" i="12" s="1"/>
  <c r="AC23" i="12" l="1"/>
  <c r="AD23" i="12" s="1"/>
  <c r="E15" i="12" l="1"/>
  <c r="M15" i="12" s="1"/>
  <c r="C15" i="12"/>
  <c r="L15" i="12" s="1"/>
  <c r="I15" i="12"/>
  <c r="E14" i="12"/>
  <c r="M14" i="12" s="1"/>
  <c r="C14" i="12"/>
  <c r="L14" i="12" s="1"/>
  <c r="I14" i="12"/>
  <c r="J14" i="12" s="1"/>
  <c r="K14" i="12" s="1"/>
  <c r="M12" i="12"/>
  <c r="L12" i="12"/>
  <c r="E13" i="12"/>
  <c r="M13" i="12" s="1"/>
  <c r="C13" i="12"/>
  <c r="L13" i="12" s="1"/>
  <c r="I13" i="12"/>
  <c r="J13" i="12" s="1"/>
  <c r="K13" i="12" s="1"/>
  <c r="I12" i="12"/>
  <c r="J12" i="12" s="1"/>
  <c r="K12" i="12" s="1"/>
  <c r="L28" i="12" l="1"/>
  <c r="L30" i="12" s="1"/>
  <c r="L31" i="12" s="1"/>
  <c r="M28" i="12"/>
  <c r="M30" i="12" s="1"/>
  <c r="M31" i="12" s="1"/>
  <c r="J15" i="12"/>
  <c r="K15" i="12" s="1"/>
  <c r="K28" i="12" s="1"/>
  <c r="N15" i="12"/>
  <c r="P18" i="12" s="1"/>
  <c r="N13" i="12"/>
  <c r="N14" i="12"/>
  <c r="P17" i="12" s="1"/>
  <c r="N12" i="12"/>
  <c r="N28" i="12" l="1"/>
  <c r="L29" i="12" s="1"/>
  <c r="N31" i="12"/>
  <c r="P16" i="12"/>
  <c r="W13" i="12"/>
  <c r="S13" i="12"/>
  <c r="T16" i="12" s="1"/>
  <c r="Q15" i="12"/>
  <c r="R15" i="12" s="1"/>
  <c r="R28" i="12" s="1"/>
  <c r="S15" i="12"/>
  <c r="T18" i="12" s="1"/>
  <c r="Q13" i="12"/>
  <c r="R13" i="12" s="1"/>
  <c r="S12" i="12"/>
  <c r="AE12" i="12" s="1"/>
  <c r="AF12" i="12" s="1"/>
  <c r="AG12" i="12" s="1"/>
  <c r="Q12" i="12"/>
  <c r="R12" i="12" s="1"/>
  <c r="S14" i="12"/>
  <c r="T17" i="12" s="1"/>
  <c r="Q14" i="12"/>
  <c r="R14" i="12" s="1"/>
  <c r="M29" i="12" l="1"/>
  <c r="U23" i="12"/>
  <c r="U22" i="12"/>
  <c r="U16" i="12"/>
  <c r="U20" i="12"/>
  <c r="U13" i="12"/>
  <c r="U17" i="12"/>
  <c r="U21" i="12"/>
  <c r="U19" i="12"/>
  <c r="U14" i="12"/>
  <c r="U18" i="12"/>
  <c r="U12" i="12"/>
  <c r="U15" i="12"/>
  <c r="W14" i="12"/>
  <c r="X13" i="12"/>
  <c r="AA13" i="12"/>
  <c r="Y13" i="12" l="1"/>
  <c r="AE13" i="12"/>
  <c r="AF13" i="12" s="1"/>
  <c r="AG13" i="12" s="1"/>
  <c r="E2" i="27" a="1"/>
  <c r="E2" i="27" s="1"/>
  <c r="E6" i="27" a="1"/>
  <c r="E6" i="27" s="1"/>
  <c r="E10" i="27" a="1"/>
  <c r="E10" i="27" s="1"/>
  <c r="B2" i="27" a="1"/>
  <c r="B2" i="27" s="1"/>
  <c r="B6" i="27" a="1"/>
  <c r="B6" i="27" s="1"/>
  <c r="B10" i="27" a="1"/>
  <c r="B10" i="27" s="1"/>
  <c r="E13" i="27" a="1"/>
  <c r="E13" i="27" s="1"/>
  <c r="B9" i="27" a="1"/>
  <c r="B9" i="27" s="1"/>
  <c r="E3" i="27" a="1"/>
  <c r="E3" i="27" s="1"/>
  <c r="E7" i="27" a="1"/>
  <c r="E7" i="27" s="1"/>
  <c r="E11" i="27" a="1"/>
  <c r="E11" i="27" s="1"/>
  <c r="B3" i="27" a="1"/>
  <c r="B3" i="27" s="1"/>
  <c r="B7" i="27" a="1"/>
  <c r="B7" i="27" s="1"/>
  <c r="B11" i="27" a="1"/>
  <c r="B11" i="27" s="1"/>
  <c r="E9" i="27" a="1"/>
  <c r="E9" i="27" s="1"/>
  <c r="E4" i="27" a="1"/>
  <c r="E4" i="27" s="1"/>
  <c r="E8" i="27" a="1"/>
  <c r="E8" i="27" s="1"/>
  <c r="E12" i="27" a="1"/>
  <c r="E12" i="27" s="1"/>
  <c r="B4" i="27" a="1"/>
  <c r="B4" i="27" s="1"/>
  <c r="B8" i="27" a="1"/>
  <c r="B8" i="27" s="1"/>
  <c r="B12" i="27" a="1"/>
  <c r="B12" i="27" s="1"/>
  <c r="E5" i="27" a="1"/>
  <c r="E5" i="27" s="1"/>
  <c r="B5" i="27" a="1"/>
  <c r="B5" i="27" s="1"/>
  <c r="B13" i="27" a="1"/>
  <c r="B13" i="27" s="1"/>
  <c r="C2" i="27"/>
  <c r="D3" i="27"/>
  <c r="D7" i="27"/>
  <c r="D11" i="27"/>
  <c r="C4" i="27"/>
  <c r="C8" i="27"/>
  <c r="C12" i="27"/>
  <c r="D4" i="27"/>
  <c r="D8" i="27"/>
  <c r="D12" i="27"/>
  <c r="C5" i="27"/>
  <c r="C9" i="27"/>
  <c r="C13" i="27"/>
  <c r="F9" i="27"/>
  <c r="D5" i="27"/>
  <c r="D9" i="27"/>
  <c r="D13" i="27"/>
  <c r="C6" i="27"/>
  <c r="C10" i="27"/>
  <c r="D6" i="27"/>
  <c r="D10" i="27"/>
  <c r="D2" i="27"/>
  <c r="C3" i="27"/>
  <c r="C7" i="27"/>
  <c r="C11" i="27"/>
  <c r="E4" i="25" a="1"/>
  <c r="E4" i="25" s="1"/>
  <c r="B4" i="25" a="1"/>
  <c r="B4" i="25" s="1"/>
  <c r="D3" i="25"/>
  <c r="C3" i="25"/>
  <c r="F4" i="25"/>
  <c r="E5" i="25" a="1"/>
  <c r="E5" i="25" s="1"/>
  <c r="B5" i="25" a="1"/>
  <c r="B5" i="25" s="1"/>
  <c r="D4" i="25"/>
  <c r="E2" i="25" a="1"/>
  <c r="E2" i="25" s="1"/>
  <c r="B2" i="25" a="1"/>
  <c r="B2" i="25" s="1"/>
  <c r="D5" i="25"/>
  <c r="C5" i="25"/>
  <c r="C4" i="25"/>
  <c r="E3" i="25" a="1"/>
  <c r="E3" i="25" s="1"/>
  <c r="B3" i="25" a="1"/>
  <c r="B3" i="25" s="1"/>
  <c r="C2" i="25"/>
  <c r="D2" i="25"/>
  <c r="F5" i="25"/>
  <c r="B5" i="15"/>
  <c r="W15" i="12"/>
  <c r="X14" i="12"/>
  <c r="AA14" i="12"/>
  <c r="C2" i="16"/>
  <c r="B2" i="15"/>
  <c r="B3" i="15"/>
  <c r="B4" i="15"/>
  <c r="B5" i="32" l="1"/>
  <c r="C6" i="32"/>
  <c r="D7" i="32"/>
  <c r="B9" i="32"/>
  <c r="C10" i="32"/>
  <c r="D11" i="32"/>
  <c r="B13" i="32"/>
  <c r="C14" i="32"/>
  <c r="D15" i="32"/>
  <c r="B17" i="32"/>
  <c r="C18" i="32"/>
  <c r="D19" i="32"/>
  <c r="B21" i="32"/>
  <c r="C22" i="32"/>
  <c r="D23" i="32"/>
  <c r="B25" i="32"/>
  <c r="C26" i="32"/>
  <c r="D27" i="32"/>
  <c r="B29" i="32"/>
  <c r="C30" i="32"/>
  <c r="D31" i="32"/>
  <c r="B33" i="32"/>
  <c r="C3" i="32"/>
  <c r="B20" i="32"/>
  <c r="C21" i="32"/>
  <c r="D22" i="32"/>
  <c r="C25" i="32"/>
  <c r="D26" i="32"/>
  <c r="C29" i="32"/>
  <c r="D30" i="32"/>
  <c r="C33" i="32"/>
  <c r="B3" i="32"/>
  <c r="B22" i="32"/>
  <c r="D24" i="32"/>
  <c r="C27" i="32"/>
  <c r="C31" i="32"/>
  <c r="D3" i="32"/>
  <c r="B4" i="32"/>
  <c r="C5" i="32"/>
  <c r="D6" i="32"/>
  <c r="B8" i="32"/>
  <c r="C9" i="32"/>
  <c r="D10" i="32"/>
  <c r="B12" i="32"/>
  <c r="C13" i="32"/>
  <c r="D14" i="32"/>
  <c r="B16" i="32"/>
  <c r="C17" i="32"/>
  <c r="D18" i="32"/>
  <c r="B24" i="32"/>
  <c r="B28" i="32"/>
  <c r="B32" i="32"/>
  <c r="C19" i="32"/>
  <c r="D28" i="32"/>
  <c r="C4" i="32"/>
  <c r="D5" i="32"/>
  <c r="B7" i="32"/>
  <c r="C8" i="32"/>
  <c r="D9" i="32"/>
  <c r="B11" i="32"/>
  <c r="C12" i="32"/>
  <c r="D13" i="32"/>
  <c r="B15" i="32"/>
  <c r="C16" i="32"/>
  <c r="D17" i="32"/>
  <c r="B19" i="32"/>
  <c r="C20" i="32"/>
  <c r="D21" i="32"/>
  <c r="B23" i="32"/>
  <c r="C24" i="32"/>
  <c r="D25" i="32"/>
  <c r="B27" i="32"/>
  <c r="C28" i="32"/>
  <c r="D29" i="32"/>
  <c r="B31" i="32"/>
  <c r="C32" i="32"/>
  <c r="D33" i="32"/>
  <c r="B6" i="32"/>
  <c r="C7" i="32"/>
  <c r="D8" i="32"/>
  <c r="B10" i="32"/>
  <c r="C11" i="32"/>
  <c r="D12" i="32"/>
  <c r="B14" i="32"/>
  <c r="C15" i="32"/>
  <c r="D16" i="32"/>
  <c r="B18" i="32"/>
  <c r="D20" i="32"/>
  <c r="C23" i="32"/>
  <c r="B26" i="32"/>
  <c r="B30" i="32"/>
  <c r="D32" i="32"/>
  <c r="D4" i="32"/>
  <c r="J3" i="32"/>
  <c r="F3" i="32"/>
  <c r="G4" i="32"/>
  <c r="E5" i="32"/>
  <c r="I5" i="32"/>
  <c r="G6" i="32"/>
  <c r="E7" i="32"/>
  <c r="I7" i="32"/>
  <c r="G8" i="32"/>
  <c r="E9" i="32"/>
  <c r="I9" i="32"/>
  <c r="G10" i="32"/>
  <c r="E11" i="32"/>
  <c r="I11" i="32"/>
  <c r="G12" i="32"/>
  <c r="E13" i="32"/>
  <c r="I13" i="32"/>
  <c r="G14" i="32"/>
  <c r="E15" i="32"/>
  <c r="I15" i="32"/>
  <c r="G16" i="32"/>
  <c r="E17" i="32"/>
  <c r="I17" i="32"/>
  <c r="G18" i="32"/>
  <c r="E19" i="32"/>
  <c r="I19" i="32"/>
  <c r="G20" i="32"/>
  <c r="E21" i="32"/>
  <c r="I21" i="32"/>
  <c r="G22" i="32"/>
  <c r="E23" i="32"/>
  <c r="I23" i="32"/>
  <c r="G24" i="32"/>
  <c r="E25" i="32"/>
  <c r="I25" i="32"/>
  <c r="G26" i="32"/>
  <c r="E27" i="32"/>
  <c r="I27" i="32"/>
  <c r="G28" i="32"/>
  <c r="E29" i="32"/>
  <c r="I29" i="32"/>
  <c r="G30" i="32"/>
  <c r="E31" i="32"/>
  <c r="I31" i="32"/>
  <c r="G32" i="32"/>
  <c r="E33" i="32"/>
  <c r="I33" i="32"/>
  <c r="I4" i="32"/>
  <c r="E6" i="32"/>
  <c r="I6" i="32"/>
  <c r="E8" i="32"/>
  <c r="E10" i="32"/>
  <c r="I12" i="32"/>
  <c r="E14" i="32"/>
  <c r="E16" i="32"/>
  <c r="G17" i="32"/>
  <c r="G19" i="32"/>
  <c r="E22" i="32"/>
  <c r="E24" i="32"/>
  <c r="E26" i="32"/>
  <c r="G27" i="32"/>
  <c r="I28" i="32"/>
  <c r="I30" i="32"/>
  <c r="I32" i="32"/>
  <c r="I3" i="32"/>
  <c r="E3" i="32"/>
  <c r="H4" i="32"/>
  <c r="F5" i="32"/>
  <c r="J5" i="32"/>
  <c r="H6" i="32"/>
  <c r="F7" i="32"/>
  <c r="J7" i="32"/>
  <c r="H8" i="32"/>
  <c r="F9" i="32"/>
  <c r="J9" i="32"/>
  <c r="H10" i="32"/>
  <c r="F11" i="32"/>
  <c r="J11" i="32"/>
  <c r="H12" i="32"/>
  <c r="F13" i="32"/>
  <c r="J13" i="32"/>
  <c r="H14" i="32"/>
  <c r="F15" i="32"/>
  <c r="J15" i="32"/>
  <c r="H16" i="32"/>
  <c r="F17" i="32"/>
  <c r="J17" i="32"/>
  <c r="H18" i="32"/>
  <c r="F19" i="32"/>
  <c r="J19" i="32"/>
  <c r="H20" i="32"/>
  <c r="F21" i="32"/>
  <c r="J21" i="32"/>
  <c r="H22" i="32"/>
  <c r="F23" i="32"/>
  <c r="J23" i="32"/>
  <c r="H24" i="32"/>
  <c r="F25" i="32"/>
  <c r="J25" i="32"/>
  <c r="H26" i="32"/>
  <c r="F27" i="32"/>
  <c r="J27" i="32"/>
  <c r="H28" i="32"/>
  <c r="F29" i="32"/>
  <c r="J29" i="32"/>
  <c r="H30" i="32"/>
  <c r="F31" i="32"/>
  <c r="J31" i="32"/>
  <c r="H32" i="32"/>
  <c r="F33" i="32"/>
  <c r="J33" i="32"/>
  <c r="E4" i="32"/>
  <c r="G5" i="32"/>
  <c r="G7" i="32"/>
  <c r="I8" i="32"/>
  <c r="I10" i="32"/>
  <c r="E12" i="32"/>
  <c r="I14" i="32"/>
  <c r="I16" i="32"/>
  <c r="I18" i="32"/>
  <c r="E20" i="32"/>
  <c r="G21" i="32"/>
  <c r="G23" i="32"/>
  <c r="G25" i="32"/>
  <c r="E28" i="32"/>
  <c r="E30" i="32"/>
  <c r="E32" i="32"/>
  <c r="H3" i="32"/>
  <c r="G3" i="32"/>
  <c r="F4" i="32"/>
  <c r="J4" i="32"/>
  <c r="K4" i="32" s="1"/>
  <c r="H5" i="32"/>
  <c r="F6" i="32"/>
  <c r="J6" i="32"/>
  <c r="K6" i="32" s="1"/>
  <c r="H7" i="32"/>
  <c r="F8" i="32"/>
  <c r="J8" i="32"/>
  <c r="K8" i="32" s="1"/>
  <c r="H9" i="32"/>
  <c r="F10" i="32"/>
  <c r="J10" i="32"/>
  <c r="K10" i="32" s="1"/>
  <c r="H11" i="32"/>
  <c r="F12" i="32"/>
  <c r="J12" i="32"/>
  <c r="K12" i="32" s="1"/>
  <c r="H13" i="32"/>
  <c r="F14" i="32"/>
  <c r="J14" i="32"/>
  <c r="K14" i="32" s="1"/>
  <c r="H15" i="32"/>
  <c r="F16" i="32"/>
  <c r="J16" i="32"/>
  <c r="K16" i="32" s="1"/>
  <c r="H17" i="32"/>
  <c r="F18" i="32"/>
  <c r="J18" i="32"/>
  <c r="K18" i="32" s="1"/>
  <c r="H19" i="32"/>
  <c r="F20" i="32"/>
  <c r="J20" i="32"/>
  <c r="K20" i="32" s="1"/>
  <c r="H21" i="32"/>
  <c r="F22" i="32"/>
  <c r="J22" i="32"/>
  <c r="K22" i="32" s="1"/>
  <c r="H23" i="32"/>
  <c r="F24" i="32"/>
  <c r="J24" i="32"/>
  <c r="K24" i="32" s="1"/>
  <c r="H25" i="32"/>
  <c r="F26" i="32"/>
  <c r="J26" i="32"/>
  <c r="K26" i="32" s="1"/>
  <c r="H27" i="32"/>
  <c r="F28" i="32"/>
  <c r="J28" i="32"/>
  <c r="K28" i="32" s="1"/>
  <c r="H29" i="32"/>
  <c r="F30" i="32"/>
  <c r="J30" i="32"/>
  <c r="K30" i="32" s="1"/>
  <c r="H31" i="32"/>
  <c r="F32" i="32"/>
  <c r="J32" i="32"/>
  <c r="K32" i="32" s="1"/>
  <c r="H33" i="32"/>
  <c r="G9" i="32"/>
  <c r="G11" i="32"/>
  <c r="G13" i="32"/>
  <c r="G15" i="32"/>
  <c r="E18" i="32"/>
  <c r="I20" i="32"/>
  <c r="I22" i="32"/>
  <c r="I24" i="32"/>
  <c r="I26" i="32"/>
  <c r="G29" i="32"/>
  <c r="G31" i="32"/>
  <c r="G33" i="32"/>
  <c r="Y14" i="12"/>
  <c r="AE14" i="12"/>
  <c r="AF14" i="12" s="1"/>
  <c r="AG14" i="12" s="1"/>
  <c r="E4" i="31"/>
  <c r="E8" i="31"/>
  <c r="E12" i="31"/>
  <c r="D4" i="31"/>
  <c r="D8" i="31"/>
  <c r="D12" i="31"/>
  <c r="C4" i="31"/>
  <c r="C8" i="31"/>
  <c r="C12" i="31"/>
  <c r="E5" i="31"/>
  <c r="E9" i="31"/>
  <c r="E13" i="31"/>
  <c r="D5" i="31"/>
  <c r="D9" i="31"/>
  <c r="D13" i="31"/>
  <c r="C5" i="31"/>
  <c r="C9" i="31"/>
  <c r="C13" i="31"/>
  <c r="B9" i="31"/>
  <c r="E2" i="31"/>
  <c r="E6" i="31"/>
  <c r="E10" i="31"/>
  <c r="D2" i="31"/>
  <c r="D6" i="31"/>
  <c r="D10" i="31"/>
  <c r="C6" i="31"/>
  <c r="C10" i="31"/>
  <c r="E3" i="31"/>
  <c r="E7" i="31"/>
  <c r="E11" i="31"/>
  <c r="D3" i="31"/>
  <c r="D7" i="31"/>
  <c r="D11" i="31"/>
  <c r="C7" i="31"/>
  <c r="C11" i="31"/>
  <c r="E4" i="30"/>
  <c r="E5" i="30"/>
  <c r="E9" i="30"/>
  <c r="E13" i="30"/>
  <c r="E2" i="30"/>
  <c r="E6" i="30"/>
  <c r="E10" i="30"/>
  <c r="D2" i="30"/>
  <c r="D6" i="30"/>
  <c r="D10" i="30"/>
  <c r="C6" i="30"/>
  <c r="C10" i="30"/>
  <c r="E8" i="30"/>
  <c r="D4" i="30"/>
  <c r="D12" i="30"/>
  <c r="C8" i="30"/>
  <c r="D5" i="30"/>
  <c r="D13" i="30"/>
  <c r="C9" i="30"/>
  <c r="E3" i="30"/>
  <c r="E7" i="30"/>
  <c r="E11" i="30"/>
  <c r="D3" i="30"/>
  <c r="D7" i="30"/>
  <c r="D11" i="30"/>
  <c r="C7" i="30"/>
  <c r="C11" i="30"/>
  <c r="E12" i="30"/>
  <c r="D8" i="30"/>
  <c r="C4" i="30"/>
  <c r="C12" i="30"/>
  <c r="D9" i="30"/>
  <c r="C5" i="30"/>
  <c r="C13" i="30"/>
  <c r="B9" i="30"/>
  <c r="E9" i="24"/>
  <c r="D10" i="24"/>
  <c r="D6" i="24"/>
  <c r="E12" i="24"/>
  <c r="E3" i="24"/>
  <c r="C11" i="24"/>
  <c r="C7" i="24"/>
  <c r="E7" i="24"/>
  <c r="D13" i="24"/>
  <c r="D9" i="24"/>
  <c r="D5" i="24"/>
  <c r="E10" i="24"/>
  <c r="D2" i="24"/>
  <c r="C10" i="24"/>
  <c r="C6" i="24"/>
  <c r="E13" i="24"/>
  <c r="E5" i="24"/>
  <c r="D12" i="24"/>
  <c r="D8" i="24"/>
  <c r="D4" i="24"/>
  <c r="E8" i="24"/>
  <c r="C13" i="24"/>
  <c r="C9" i="24"/>
  <c r="C5" i="24"/>
  <c r="E2" i="24"/>
  <c r="E11" i="24"/>
  <c r="E4" i="24"/>
  <c r="D11" i="24"/>
  <c r="D7" i="24"/>
  <c r="D3" i="24"/>
  <c r="E6" i="24"/>
  <c r="C12" i="24"/>
  <c r="C8" i="24"/>
  <c r="C4" i="24"/>
  <c r="B9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E2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D2" i="23"/>
  <c r="E5" i="16"/>
  <c r="C5" i="16"/>
  <c r="D5" i="15"/>
  <c r="J2" i="18"/>
  <c r="Q2" i="18"/>
  <c r="D5" i="16"/>
  <c r="Q6" i="18"/>
  <c r="Q7" i="18"/>
  <c r="Q4" i="18"/>
  <c r="Q8" i="18"/>
  <c r="Q12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Q284" i="18"/>
  <c r="Q288" i="18"/>
  <c r="Q292" i="18"/>
  <c r="Q296" i="18"/>
  <c r="Q300" i="18"/>
  <c r="Q304" i="18"/>
  <c r="Q308" i="18"/>
  <c r="Q312" i="18"/>
  <c r="Q316" i="18"/>
  <c r="Q320" i="18"/>
  <c r="Q324" i="18"/>
  <c r="Q328" i="18"/>
  <c r="Q332" i="18"/>
  <c r="Q336" i="18"/>
  <c r="Q340" i="18"/>
  <c r="Q344" i="18"/>
  <c r="Q348" i="18"/>
  <c r="Q352" i="18"/>
  <c r="Q356" i="18"/>
  <c r="Q360" i="18"/>
  <c r="Q364" i="18"/>
  <c r="Q368" i="18"/>
  <c r="Q259" i="18"/>
  <c r="Q287" i="18"/>
  <c r="Q303" i="18"/>
  <c r="Q319" i="18"/>
  <c r="Q331" i="18"/>
  <c r="Q347" i="18"/>
  <c r="Q359" i="18"/>
  <c r="Q9" i="18"/>
  <c r="Q13" i="18"/>
  <c r="Q17" i="18"/>
  <c r="Q21" i="18"/>
  <c r="Q25" i="18"/>
  <c r="Q29" i="18"/>
  <c r="Q33" i="18"/>
  <c r="Q37" i="18"/>
  <c r="Q41" i="18"/>
  <c r="Q45" i="18"/>
  <c r="Q49" i="18"/>
  <c r="Q53" i="18"/>
  <c r="Q57" i="18"/>
  <c r="Q61" i="18"/>
  <c r="Q65" i="18"/>
  <c r="Q69" i="18"/>
  <c r="Q73" i="18"/>
  <c r="Q77" i="18"/>
  <c r="Q81" i="18"/>
  <c r="Q85" i="18"/>
  <c r="Q89" i="18"/>
  <c r="Q93" i="18"/>
  <c r="Q97" i="18"/>
  <c r="Q101" i="18"/>
  <c r="Q105" i="18"/>
  <c r="Q109" i="18"/>
  <c r="Q113" i="18"/>
  <c r="Q117" i="18"/>
  <c r="Q121" i="18"/>
  <c r="Q125" i="18"/>
  <c r="Q129" i="18"/>
  <c r="Q133" i="18"/>
  <c r="Q137" i="18"/>
  <c r="Q141" i="18"/>
  <c r="Q145" i="18"/>
  <c r="Q149" i="18"/>
  <c r="Q153" i="18"/>
  <c r="Q157" i="18"/>
  <c r="Q161" i="18"/>
  <c r="Q165" i="18"/>
  <c r="Q169" i="18"/>
  <c r="Q173" i="18"/>
  <c r="Q177" i="18"/>
  <c r="Q181" i="18"/>
  <c r="Q185" i="18"/>
  <c r="Q189" i="18"/>
  <c r="Q193" i="18"/>
  <c r="Q197" i="18"/>
  <c r="Q201" i="18"/>
  <c r="Q205" i="18"/>
  <c r="Q209" i="18"/>
  <c r="Q213" i="18"/>
  <c r="Q217" i="18"/>
  <c r="Q221" i="18"/>
  <c r="Q225" i="18"/>
  <c r="Q229" i="18"/>
  <c r="Q233" i="18"/>
  <c r="Q237" i="18"/>
  <c r="Q241" i="18"/>
  <c r="Q245" i="18"/>
  <c r="Q249" i="18"/>
  <c r="Q253" i="18"/>
  <c r="Q257" i="18"/>
  <c r="Q261" i="18"/>
  <c r="Q265" i="18"/>
  <c r="Q269" i="18"/>
  <c r="Q273" i="18"/>
  <c r="Q277" i="18"/>
  <c r="Q281" i="18"/>
  <c r="Q285" i="18"/>
  <c r="Q289" i="18"/>
  <c r="Q293" i="18"/>
  <c r="Q297" i="18"/>
  <c r="Q301" i="18"/>
  <c r="Q305" i="18"/>
  <c r="Q309" i="18"/>
  <c r="Q313" i="18"/>
  <c r="Q317" i="18"/>
  <c r="Q321" i="18"/>
  <c r="Q325" i="18"/>
  <c r="Q329" i="18"/>
  <c r="Q333" i="18"/>
  <c r="Q337" i="18"/>
  <c r="Q341" i="18"/>
  <c r="Q345" i="18"/>
  <c r="Q349" i="18"/>
  <c r="Q353" i="18"/>
  <c r="Q357" i="18"/>
  <c r="Q361" i="18"/>
  <c r="Q365" i="18"/>
  <c r="Q3" i="18"/>
  <c r="Q5" i="18"/>
  <c r="Q19" i="18"/>
  <c r="Q27" i="18"/>
  <c r="Q35" i="18"/>
  <c r="Q43" i="18"/>
  <c r="Q51" i="18"/>
  <c r="Q59" i="18"/>
  <c r="Q67" i="18"/>
  <c r="Q75" i="18"/>
  <c r="Q83" i="18"/>
  <c r="Q91" i="18"/>
  <c r="Q99" i="18"/>
  <c r="Q107" i="18"/>
  <c r="Q115" i="18"/>
  <c r="Q123" i="18"/>
  <c r="Q131" i="18"/>
  <c r="Q139" i="18"/>
  <c r="Q147" i="18"/>
  <c r="Q155" i="18"/>
  <c r="Q163" i="18"/>
  <c r="Q171" i="18"/>
  <c r="Q179" i="18"/>
  <c r="Q187" i="18"/>
  <c r="Q195" i="18"/>
  <c r="Q207" i="18"/>
  <c r="Q215" i="18"/>
  <c r="Q223" i="18"/>
  <c r="Q231" i="18"/>
  <c r="Q239" i="18"/>
  <c r="Q247" i="18"/>
  <c r="Q251" i="18"/>
  <c r="Q263" i="18"/>
  <c r="Q275" i="18"/>
  <c r="Q283" i="18"/>
  <c r="Q295" i="18"/>
  <c r="Q307" i="18"/>
  <c r="Q315" i="18"/>
  <c r="Q327" i="18"/>
  <c r="Q339" i="18"/>
  <c r="Q351" i="18"/>
  <c r="Q363" i="18"/>
  <c r="Q10" i="18"/>
  <c r="Q14" i="18"/>
  <c r="Q18" i="18"/>
  <c r="Q22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Q286" i="18"/>
  <c r="Q290" i="18"/>
  <c r="Q294" i="18"/>
  <c r="Q298" i="18"/>
  <c r="Q302" i="18"/>
  <c r="Q306" i="18"/>
  <c r="Q310" i="18"/>
  <c r="Q314" i="18"/>
  <c r="Q318" i="18"/>
  <c r="Q322" i="18"/>
  <c r="Q326" i="18"/>
  <c r="Q330" i="18"/>
  <c r="Q334" i="18"/>
  <c r="Q338" i="18"/>
  <c r="Q342" i="18"/>
  <c r="Q346" i="18"/>
  <c r="Q350" i="18"/>
  <c r="Q354" i="18"/>
  <c r="Q358" i="18"/>
  <c r="Q362" i="18"/>
  <c r="Q366" i="18"/>
  <c r="J4" i="18"/>
  <c r="Q11" i="18"/>
  <c r="Q15" i="18"/>
  <c r="Q23" i="18"/>
  <c r="Q31" i="18"/>
  <c r="Q39" i="18"/>
  <c r="Q47" i="18"/>
  <c r="Q55" i="18"/>
  <c r="Q63" i="18"/>
  <c r="Q71" i="18"/>
  <c r="Q79" i="18"/>
  <c r="Q87" i="18"/>
  <c r="Q95" i="18"/>
  <c r="Q103" i="18"/>
  <c r="Q111" i="18"/>
  <c r="Q119" i="18"/>
  <c r="Q127" i="18"/>
  <c r="Q135" i="18"/>
  <c r="Q143" i="18"/>
  <c r="Q151" i="18"/>
  <c r="Q159" i="18"/>
  <c r="Q167" i="18"/>
  <c r="Q175" i="18"/>
  <c r="Q183" i="18"/>
  <c r="Q191" i="18"/>
  <c r="Q199" i="18"/>
  <c r="Q203" i="18"/>
  <c r="Q211" i="18"/>
  <c r="Q219" i="18"/>
  <c r="Q227" i="18"/>
  <c r="Q235" i="18"/>
  <c r="Q243" i="18"/>
  <c r="Q255" i="18"/>
  <c r="Q267" i="18"/>
  <c r="Q271" i="18"/>
  <c r="Q279" i="18"/>
  <c r="Q291" i="18"/>
  <c r="Q299" i="18"/>
  <c r="Q311" i="18"/>
  <c r="Q323" i="18"/>
  <c r="Q335" i="18"/>
  <c r="Q343" i="18"/>
  <c r="Q355" i="18"/>
  <c r="Q367" i="18"/>
  <c r="C5" i="15"/>
  <c r="W16" i="12"/>
  <c r="X15" i="12"/>
  <c r="AA15" i="12"/>
  <c r="G2" i="18"/>
  <c r="D2" i="18"/>
  <c r="J338" i="18"/>
  <c r="G326" i="18"/>
  <c r="J326" i="18"/>
  <c r="D279" i="18"/>
  <c r="D219" i="18"/>
  <c r="G188" i="18"/>
  <c r="J140" i="18"/>
  <c r="D100" i="18"/>
  <c r="D340" i="18"/>
  <c r="D310" i="18"/>
  <c r="G330" i="18"/>
  <c r="D300" i="18"/>
  <c r="J168" i="18"/>
  <c r="G105" i="18"/>
  <c r="J354" i="18"/>
  <c r="D311" i="18"/>
  <c r="J321" i="18"/>
  <c r="G302" i="18"/>
  <c r="J322" i="18"/>
  <c r="G130" i="18"/>
  <c r="J10" i="18"/>
  <c r="G136" i="18"/>
  <c r="G317" i="18"/>
  <c r="D187" i="18"/>
  <c r="G294" i="18"/>
  <c r="J278" i="18"/>
  <c r="D362" i="18"/>
  <c r="D346" i="18"/>
  <c r="D178" i="18"/>
  <c r="D162" i="18"/>
  <c r="D146" i="18"/>
  <c r="D130" i="18"/>
  <c r="D206" i="18"/>
  <c r="G18" i="18"/>
  <c r="D55" i="18"/>
  <c r="D39" i="18"/>
  <c r="G177" i="18"/>
  <c r="G161" i="18"/>
  <c r="G145" i="18"/>
  <c r="G129" i="18"/>
  <c r="D324" i="18"/>
  <c r="G58" i="18"/>
  <c r="G42" i="18"/>
  <c r="D111" i="18"/>
  <c r="G242" i="18"/>
  <c r="G275" i="18"/>
  <c r="J198" i="18"/>
  <c r="G241" i="18"/>
  <c r="G225" i="18"/>
  <c r="J270" i="18"/>
  <c r="D250" i="18"/>
  <c r="D289" i="18"/>
  <c r="G335" i="18"/>
  <c r="D319" i="18"/>
  <c r="G24" i="18"/>
  <c r="J57" i="18"/>
  <c r="G90" i="18"/>
  <c r="G74" i="18"/>
  <c r="G113" i="18"/>
  <c r="D180" i="18"/>
  <c r="G164" i="18"/>
  <c r="D148" i="18"/>
  <c r="D132" i="18"/>
  <c r="G236" i="18"/>
  <c r="G220" i="18"/>
  <c r="D261" i="18"/>
  <c r="G334" i="18"/>
  <c r="G314" i="18"/>
  <c r="D356" i="18"/>
  <c r="D31" i="18"/>
  <c r="J56" i="18"/>
  <c r="J40" i="18"/>
  <c r="G81" i="18"/>
  <c r="D183" i="18"/>
  <c r="D167" i="18"/>
  <c r="D151" i="18"/>
  <c r="D135" i="18"/>
  <c r="D204" i="18"/>
  <c r="J243" i="18"/>
  <c r="J227" i="18"/>
  <c r="D272" i="18"/>
  <c r="D252" i="18"/>
  <c r="D291" i="18"/>
  <c r="D337" i="18"/>
  <c r="D321" i="18"/>
  <c r="D367" i="18"/>
  <c r="D351" i="18"/>
  <c r="D338" i="18"/>
  <c r="J233" i="18"/>
  <c r="J352" i="18"/>
  <c r="G347" i="18"/>
  <c r="G358" i="18"/>
  <c r="J128" i="18"/>
  <c r="J333" i="18"/>
  <c r="J158" i="18"/>
  <c r="G340" i="18"/>
  <c r="G295" i="18"/>
  <c r="D254" i="18"/>
  <c r="J343" i="18"/>
  <c r="J351" i="18"/>
  <c r="J131" i="18"/>
  <c r="G265" i="18"/>
  <c r="J318" i="18"/>
  <c r="J355" i="18"/>
  <c r="J363" i="18"/>
  <c r="G174" i="18"/>
  <c r="J337" i="18"/>
  <c r="G331" i="18"/>
  <c r="J356" i="18"/>
  <c r="G350" i="18"/>
  <c r="J311" i="18"/>
  <c r="J360" i="18"/>
  <c r="D352" i="18"/>
  <c r="J299" i="18"/>
  <c r="J364" i="18"/>
  <c r="G333" i="18"/>
  <c r="J313" i="18"/>
  <c r="J160" i="18"/>
  <c r="G204" i="18"/>
  <c r="G254" i="18"/>
  <c r="J274" i="18"/>
  <c r="G159" i="18"/>
  <c r="J298" i="18"/>
  <c r="G322" i="18"/>
  <c r="J188" i="18"/>
  <c r="D255" i="18"/>
  <c r="G287" i="18"/>
  <c r="D184" i="18"/>
  <c r="G271" i="18"/>
  <c r="G303" i="18"/>
  <c r="D355" i="18"/>
  <c r="J253" i="18"/>
  <c r="D288" i="18"/>
  <c r="D62" i="18"/>
  <c r="J154" i="18"/>
  <c r="G162" i="18"/>
  <c r="D226" i="18"/>
  <c r="G262" i="18"/>
  <c r="D258" i="18"/>
  <c r="G298" i="18"/>
  <c r="D326" i="18"/>
  <c r="J230" i="18"/>
  <c r="D304" i="18"/>
  <c r="J332" i="18"/>
  <c r="J316" i="18"/>
  <c r="G324" i="18"/>
  <c r="G308" i="18"/>
  <c r="G167" i="18"/>
  <c r="G210" i="18"/>
  <c r="J273" i="18"/>
  <c r="G269" i="18"/>
  <c r="G247" i="18"/>
  <c r="J300" i="18"/>
  <c r="G300" i="18"/>
  <c r="G284" i="18"/>
  <c r="D368" i="18"/>
  <c r="D273" i="18"/>
  <c r="G365" i="18"/>
  <c r="J361" i="18"/>
  <c r="D353" i="18"/>
  <c r="G349" i="18"/>
  <c r="J345" i="18"/>
  <c r="D199" i="18"/>
  <c r="G203" i="18"/>
  <c r="G73" i="18"/>
  <c r="J179" i="18"/>
  <c r="J151" i="18"/>
  <c r="J210" i="18"/>
  <c r="J238" i="18"/>
  <c r="D218" i="18"/>
  <c r="J297" i="18"/>
  <c r="J281" i="18"/>
  <c r="D293" i="18"/>
  <c r="J163" i="18"/>
  <c r="J211" i="18"/>
  <c r="G199" i="18"/>
  <c r="G226" i="18"/>
  <c r="D307" i="18"/>
  <c r="G69" i="18"/>
  <c r="G183" i="18"/>
  <c r="D366" i="18"/>
  <c r="D306" i="18"/>
  <c r="D290" i="18"/>
  <c r="D358" i="18"/>
  <c r="D174" i="18"/>
  <c r="G158" i="18"/>
  <c r="D142" i="18"/>
  <c r="D126" i="18"/>
  <c r="D202" i="18"/>
  <c r="D14" i="18"/>
  <c r="D51" i="18"/>
  <c r="D35" i="18"/>
  <c r="G173" i="18"/>
  <c r="G157" i="18"/>
  <c r="G141" i="18"/>
  <c r="G125" i="18"/>
  <c r="D320" i="18"/>
  <c r="D54" i="18"/>
  <c r="G38" i="18"/>
  <c r="G107" i="18"/>
  <c r="G234" i="18"/>
  <c r="G267" i="18"/>
  <c r="J194" i="18"/>
  <c r="G237" i="18"/>
  <c r="G221" i="18"/>
  <c r="J266" i="18"/>
  <c r="D305" i="18"/>
  <c r="D285" i="18"/>
  <c r="D331" i="18"/>
  <c r="D315" i="18"/>
  <c r="D20" i="18"/>
  <c r="J53" i="18"/>
  <c r="G86" i="18"/>
  <c r="G70" i="18"/>
  <c r="J105" i="18"/>
  <c r="G176" i="18"/>
  <c r="D160" i="18"/>
  <c r="G144" i="18"/>
  <c r="D128" i="18"/>
  <c r="G232" i="18"/>
  <c r="D216" i="18"/>
  <c r="D257" i="18"/>
  <c r="J330" i="18"/>
  <c r="J310" i="18"/>
  <c r="G352" i="18"/>
  <c r="J27" i="18"/>
  <c r="D52" i="18"/>
  <c r="D36" i="18"/>
  <c r="D77" i="18"/>
  <c r="D179" i="18"/>
  <c r="G163" i="18"/>
  <c r="D147" i="18"/>
  <c r="D131" i="18"/>
  <c r="J200" i="18"/>
  <c r="D239" i="18"/>
  <c r="D223" i="18"/>
  <c r="D268" i="18"/>
  <c r="D303" i="18"/>
  <c r="D287" i="18"/>
  <c r="D333" i="18"/>
  <c r="D317" i="18"/>
  <c r="G363" i="18"/>
  <c r="J347" i="18"/>
  <c r="J340" i="18"/>
  <c r="J262" i="18"/>
  <c r="G283" i="18"/>
  <c r="J148" i="18"/>
  <c r="J136" i="18"/>
  <c r="J314" i="18"/>
  <c r="J317" i="18"/>
  <c r="G146" i="18"/>
  <c r="J146" i="18"/>
  <c r="G250" i="18"/>
  <c r="G325" i="18"/>
  <c r="J294" i="18"/>
  <c r="G359" i="18"/>
  <c r="G367" i="18"/>
  <c r="G327" i="18"/>
  <c r="J350" i="18"/>
  <c r="G306" i="18"/>
  <c r="G351" i="18"/>
  <c r="J170" i="18"/>
  <c r="G142" i="18"/>
  <c r="J225" i="18"/>
  <c r="J279" i="18"/>
  <c r="J331" i="18"/>
  <c r="G313" i="18"/>
  <c r="J346" i="18"/>
  <c r="G344" i="18"/>
  <c r="J142" i="18"/>
  <c r="D335" i="18"/>
  <c r="J344" i="18"/>
  <c r="G180" i="18"/>
  <c r="G321" i="18"/>
  <c r="G337" i="18"/>
  <c r="G172" i="18"/>
  <c r="J183" i="18"/>
  <c r="D266" i="18"/>
  <c r="G266" i="18"/>
  <c r="D164" i="18"/>
  <c r="J287" i="18"/>
  <c r="J222" i="18"/>
  <c r="J303" i="18"/>
  <c r="G281" i="18"/>
  <c r="J202" i="18"/>
  <c r="G259" i="18"/>
  <c r="G297" i="18"/>
  <c r="D339" i="18"/>
  <c r="G273" i="18"/>
  <c r="D334" i="18"/>
  <c r="J182" i="18"/>
  <c r="J138" i="18"/>
  <c r="D342" i="18"/>
  <c r="D302" i="18"/>
  <c r="D286" i="18"/>
  <c r="G354" i="18"/>
  <c r="D170" i="18"/>
  <c r="G154" i="18"/>
  <c r="G138" i="18"/>
  <c r="D214" i="18"/>
  <c r="G26" i="18"/>
  <c r="G10" i="18"/>
  <c r="D47" i="18"/>
  <c r="D63" i="18"/>
  <c r="G169" i="18"/>
  <c r="G153" i="18"/>
  <c r="G137" i="18"/>
  <c r="D336" i="18"/>
  <c r="D312" i="18"/>
  <c r="G50" i="18"/>
  <c r="J123" i="18"/>
  <c r="D103" i="18"/>
  <c r="J226" i="18"/>
  <c r="G251" i="18"/>
  <c r="J186" i="18"/>
  <c r="G233" i="18"/>
  <c r="G217" i="18"/>
  <c r="D262" i="18"/>
  <c r="D301" i="18"/>
  <c r="D281" i="18"/>
  <c r="J327" i="18"/>
  <c r="G311" i="18"/>
  <c r="D16" i="18"/>
  <c r="J41" i="18"/>
  <c r="G82" i="18"/>
  <c r="G66" i="18"/>
  <c r="G97" i="18"/>
  <c r="D172" i="18"/>
  <c r="D156" i="18"/>
  <c r="G140" i="18"/>
  <c r="G244" i="18"/>
  <c r="G228" i="18"/>
  <c r="D269" i="18"/>
  <c r="D253" i="18"/>
  <c r="D322" i="18"/>
  <c r="G364" i="18"/>
  <c r="J348" i="18"/>
  <c r="D23" i="18"/>
  <c r="G48" i="18"/>
  <c r="D93" i="18"/>
  <c r="J73" i="18"/>
  <c r="D175" i="18"/>
  <c r="J159" i="18"/>
  <c r="D143" i="18"/>
  <c r="D127" i="18"/>
  <c r="G196" i="18"/>
  <c r="G235" i="18"/>
  <c r="G219" i="18"/>
  <c r="D260" i="18"/>
  <c r="D299" i="18"/>
  <c r="J283" i="18"/>
  <c r="D329" i="18"/>
  <c r="D313" i="18"/>
  <c r="D359" i="18"/>
  <c r="D343" i="18"/>
  <c r="J155" i="18"/>
  <c r="J309" i="18"/>
  <c r="G168" i="18"/>
  <c r="G132" i="18"/>
  <c r="J342" i="18"/>
  <c r="J358" i="18"/>
  <c r="J126" i="18"/>
  <c r="D364" i="18"/>
  <c r="J315" i="18"/>
  <c r="G342" i="18"/>
  <c r="J286" i="18"/>
  <c r="G319" i="18"/>
  <c r="G339" i="18"/>
  <c r="G318" i="18"/>
  <c r="G366" i="18"/>
  <c r="G286" i="18"/>
  <c r="D327" i="18"/>
  <c r="J144" i="18"/>
  <c r="G128" i="18"/>
  <c r="G257" i="18"/>
  <c r="J325" i="18"/>
  <c r="G362" i="18"/>
  <c r="D158" i="18"/>
  <c r="J291" i="18"/>
  <c r="J335" i="18"/>
  <c r="G360" i="18"/>
  <c r="G156" i="18"/>
  <c r="G329" i="18"/>
  <c r="G160" i="18"/>
  <c r="D354" i="18"/>
  <c r="G309" i="18"/>
  <c r="G152" i="18"/>
  <c r="J139" i="18"/>
  <c r="G289" i="18"/>
  <c r="G305" i="18"/>
  <c r="J239" i="18"/>
  <c r="G299" i="18"/>
  <c r="D238" i="18"/>
  <c r="J295" i="18"/>
  <c r="D332" i="18"/>
  <c r="G208" i="18"/>
  <c r="D263" i="18"/>
  <c r="G285" i="18"/>
  <c r="J242" i="18"/>
  <c r="J304" i="18"/>
  <c r="D328" i="18"/>
  <c r="J174" i="18"/>
  <c r="J130" i="18"/>
  <c r="G195" i="18"/>
  <c r="J258" i="18"/>
  <c r="G249" i="18"/>
  <c r="J288" i="18"/>
  <c r="G282" i="18"/>
  <c r="D308" i="18"/>
  <c r="G261" i="18"/>
  <c r="D280" i="18"/>
  <c r="J324" i="18"/>
  <c r="G336" i="18"/>
  <c r="G316" i="18"/>
  <c r="J127" i="18"/>
  <c r="G135" i="18"/>
  <c r="J219" i="18"/>
  <c r="J257" i="18"/>
  <c r="G258" i="18"/>
  <c r="D270" i="18"/>
  <c r="J284" i="18"/>
  <c r="G292" i="18"/>
  <c r="D296" i="18"/>
  <c r="J223" i="18"/>
  <c r="G368" i="18"/>
  <c r="D361" i="18"/>
  <c r="G357" i="18"/>
  <c r="J353" i="18"/>
  <c r="D345" i="18"/>
  <c r="G341" i="18"/>
  <c r="D283" i="18"/>
  <c r="G243" i="18"/>
  <c r="J111" i="18"/>
  <c r="J164" i="18"/>
  <c r="G148" i="18"/>
  <c r="D207" i="18"/>
  <c r="J221" i="18"/>
  <c r="J305" i="18"/>
  <c r="J289" i="18"/>
  <c r="D294" i="18"/>
  <c r="D66" i="18"/>
  <c r="G175" i="18"/>
  <c r="G214" i="18"/>
  <c r="J234" i="18"/>
  <c r="D230" i="18"/>
  <c r="G307" i="18"/>
  <c r="J171" i="18"/>
  <c r="G151" i="18"/>
  <c r="J199" i="18"/>
  <c r="D166" i="18"/>
  <c r="G22" i="18"/>
  <c r="G165" i="18"/>
  <c r="J62" i="18"/>
  <c r="G218" i="18"/>
  <c r="G274" i="18"/>
  <c r="G323" i="18"/>
  <c r="G78" i="18"/>
  <c r="D152" i="18"/>
  <c r="D265" i="18"/>
  <c r="D344" i="18"/>
  <c r="D65" i="18"/>
  <c r="D208" i="18"/>
  <c r="D256" i="18"/>
  <c r="D309" i="18"/>
  <c r="J152" i="18"/>
  <c r="J367" i="18"/>
  <c r="D323" i="18"/>
  <c r="G348" i="18"/>
  <c r="J204" i="18"/>
  <c r="D163" i="18"/>
  <c r="G290" i="18"/>
  <c r="D246" i="18"/>
  <c r="G179" i="18"/>
  <c r="G270" i="18"/>
  <c r="J282" i="18"/>
  <c r="J195" i="18"/>
  <c r="J336" i="18"/>
  <c r="G328" i="18"/>
  <c r="G178" i="18"/>
  <c r="G231" i="18"/>
  <c r="G253" i="18"/>
  <c r="G304" i="18"/>
  <c r="J368" i="18"/>
  <c r="D365" i="18"/>
  <c r="J357" i="18"/>
  <c r="G345" i="18"/>
  <c r="J215" i="18"/>
  <c r="J184" i="18"/>
  <c r="D144" i="18"/>
  <c r="G230" i="18"/>
  <c r="J285" i="18"/>
  <c r="J175" i="18"/>
  <c r="G206" i="18"/>
  <c r="J307" i="18"/>
  <c r="J147" i="18"/>
  <c r="J214" i="18"/>
  <c r="G191" i="18"/>
  <c r="G238" i="18"/>
  <c r="D222" i="18"/>
  <c r="D95" i="18"/>
  <c r="J208" i="18"/>
  <c r="J196" i="18"/>
  <c r="D81" i="18"/>
  <c r="G115" i="18"/>
  <c r="J272" i="18"/>
  <c r="J256" i="18"/>
  <c r="J191" i="18"/>
  <c r="G239" i="18"/>
  <c r="J267" i="18"/>
  <c r="J251" i="18"/>
  <c r="G264" i="18"/>
  <c r="G248" i="18"/>
  <c r="D117" i="18"/>
  <c r="G89" i="18"/>
  <c r="G85" i="18"/>
  <c r="G98" i="18"/>
  <c r="J134" i="18"/>
  <c r="D138" i="18"/>
  <c r="J201" i="18"/>
  <c r="J85" i="18"/>
  <c r="J121" i="18"/>
  <c r="D193" i="18"/>
  <c r="G77" i="18"/>
  <c r="G101" i="18"/>
  <c r="G215" i="18"/>
  <c r="D203" i="18"/>
  <c r="G109" i="18"/>
  <c r="J107" i="18"/>
  <c r="D115" i="18"/>
  <c r="D145" i="18"/>
  <c r="D129" i="18"/>
  <c r="D189" i="18"/>
  <c r="G194" i="18"/>
  <c r="G186" i="18"/>
  <c r="J103" i="18"/>
  <c r="D99" i="18"/>
  <c r="J169" i="18"/>
  <c r="J153" i="18"/>
  <c r="J137" i="18"/>
  <c r="D181" i="18"/>
  <c r="D165" i="18"/>
  <c r="G189" i="18"/>
  <c r="J244" i="18"/>
  <c r="J236" i="18"/>
  <c r="J228" i="18"/>
  <c r="J220" i="18"/>
  <c r="D233" i="18"/>
  <c r="D217" i="18"/>
  <c r="D185" i="18"/>
  <c r="D17" i="18"/>
  <c r="D41" i="18"/>
  <c r="G114" i="18"/>
  <c r="D104" i="18"/>
  <c r="J102" i="18"/>
  <c r="J76" i="18"/>
  <c r="J38" i="18"/>
  <c r="G80" i="18"/>
  <c r="J98" i="18"/>
  <c r="D118" i="18"/>
  <c r="D102" i="18"/>
  <c r="G64" i="18"/>
  <c r="G110" i="18"/>
  <c r="G12" i="18"/>
  <c r="J42" i="18"/>
  <c r="D30" i="18"/>
  <c r="G62" i="18"/>
  <c r="J80" i="18"/>
  <c r="G84" i="18"/>
  <c r="D78" i="18"/>
  <c r="J112" i="18"/>
  <c r="J96" i="18"/>
  <c r="G108" i="18"/>
  <c r="J50" i="18"/>
  <c r="G23" i="18"/>
  <c r="D49" i="18"/>
  <c r="D45" i="18"/>
  <c r="G60" i="18"/>
  <c r="G44" i="18"/>
  <c r="G30" i="18"/>
  <c r="G57" i="18"/>
  <c r="J83" i="18"/>
  <c r="J67" i="18"/>
  <c r="G79" i="18"/>
  <c r="G63" i="18"/>
  <c r="D80" i="18"/>
  <c r="D64" i="18"/>
  <c r="J78" i="18"/>
  <c r="D91" i="18"/>
  <c r="D75" i="18"/>
  <c r="J15" i="18"/>
  <c r="G59" i="18"/>
  <c r="G43" i="18"/>
  <c r="D22" i="18"/>
  <c r="G34" i="18"/>
  <c r="J32" i="18"/>
  <c r="J30" i="18"/>
  <c r="G27" i="18"/>
  <c r="D25" i="18"/>
  <c r="J22" i="18"/>
  <c r="J19" i="18"/>
  <c r="G15" i="18"/>
  <c r="J12" i="18"/>
  <c r="G9" i="18"/>
  <c r="D8" i="18"/>
  <c r="J6" i="18"/>
  <c r="G5" i="18"/>
  <c r="D4" i="18"/>
  <c r="G120" i="18"/>
  <c r="J61" i="18"/>
  <c r="G45" i="18"/>
  <c r="D56" i="18"/>
  <c r="D18" i="18"/>
  <c r="J79" i="18"/>
  <c r="G75" i="18"/>
  <c r="D92" i="18"/>
  <c r="J90" i="18"/>
  <c r="D87" i="18"/>
  <c r="D71" i="18"/>
  <c r="D33" i="18"/>
  <c r="J3" i="18"/>
  <c r="D182" i="18"/>
  <c r="G332" i="18"/>
  <c r="G277" i="18"/>
  <c r="G224" i="18"/>
  <c r="D139" i="18"/>
  <c r="D325" i="18"/>
  <c r="G278" i="18"/>
  <c r="G291" i="18"/>
  <c r="D176" i="18"/>
  <c r="D330" i="18"/>
  <c r="J302" i="18"/>
  <c r="J312" i="18"/>
  <c r="G263" i="18"/>
  <c r="D259" i="18"/>
  <c r="D235" i="18"/>
  <c r="J229" i="18"/>
  <c r="J203" i="18"/>
  <c r="G131" i="18"/>
  <c r="D234" i="18"/>
  <c r="D212" i="18"/>
  <c r="J81" i="18"/>
  <c r="J207" i="18"/>
  <c r="J255" i="18"/>
  <c r="J247" i="18"/>
  <c r="J99" i="18"/>
  <c r="J205" i="18"/>
  <c r="D201" i="18"/>
  <c r="D97" i="18"/>
  <c r="G123" i="18"/>
  <c r="D149" i="18"/>
  <c r="D194" i="18"/>
  <c r="J173" i="18"/>
  <c r="J125" i="18"/>
  <c r="D244" i="18"/>
  <c r="D220" i="18"/>
  <c r="G185" i="18"/>
  <c r="J113" i="18"/>
  <c r="D48" i="18"/>
  <c r="J109" i="18"/>
  <c r="J68" i="18"/>
  <c r="J54" i="18"/>
  <c r="J88" i="18"/>
  <c r="D86" i="18"/>
  <c r="G112" i="18"/>
  <c r="G61" i="18"/>
  <c r="D44" i="18"/>
  <c r="J87" i="18"/>
  <c r="G67" i="18"/>
  <c r="J82" i="18"/>
  <c r="D79" i="18"/>
  <c r="G47" i="18"/>
  <c r="G33" i="18"/>
  <c r="G25" i="18"/>
  <c r="J16" i="18"/>
  <c r="G8" i="18"/>
  <c r="G4" i="18"/>
  <c r="D350" i="18"/>
  <c r="G150" i="18"/>
  <c r="D59" i="18"/>
  <c r="G149" i="18"/>
  <c r="D46" i="18"/>
  <c r="D247" i="18"/>
  <c r="J254" i="18"/>
  <c r="D28" i="18"/>
  <c r="G121" i="18"/>
  <c r="D136" i="18"/>
  <c r="J296" i="18"/>
  <c r="J60" i="18"/>
  <c r="D171" i="18"/>
  <c r="D188" i="18"/>
  <c r="D295" i="18"/>
  <c r="G355" i="18"/>
  <c r="J250" i="18"/>
  <c r="G346" i="18"/>
  <c r="J180" i="18"/>
  <c r="D347" i="18"/>
  <c r="J167" i="18"/>
  <c r="J366" i="18"/>
  <c r="J132" i="18"/>
  <c r="J362" i="18"/>
  <c r="J323" i="18"/>
  <c r="D150" i="18"/>
  <c r="J329" i="18"/>
  <c r="G155" i="18"/>
  <c r="J206" i="18"/>
  <c r="J261" i="18"/>
  <c r="J292" i="18"/>
  <c r="G126" i="18"/>
  <c r="G255" i="18"/>
  <c r="G293" i="18"/>
  <c r="G222" i="18"/>
  <c r="J328" i="18"/>
  <c r="G320" i="18"/>
  <c r="G147" i="18"/>
  <c r="J265" i="18"/>
  <c r="D275" i="18"/>
  <c r="G296" i="18"/>
  <c r="J237" i="18"/>
  <c r="J365" i="18"/>
  <c r="G353" i="18"/>
  <c r="D341" i="18"/>
  <c r="G187" i="18"/>
  <c r="J172" i="18"/>
  <c r="J187" i="18"/>
  <c r="D249" i="18"/>
  <c r="J277" i="18"/>
  <c r="J135" i="18"/>
  <c r="J246" i="18"/>
  <c r="D159" i="18"/>
  <c r="G171" i="18"/>
  <c r="J190" i="18"/>
  <c r="D215" i="18"/>
  <c r="G227" i="18"/>
  <c r="G53" i="18"/>
  <c r="G212" i="18"/>
  <c r="D200" i="18"/>
  <c r="D192" i="18"/>
  <c r="J118" i="18"/>
  <c r="G213" i="18"/>
  <c r="J268" i="18"/>
  <c r="J252" i="18"/>
  <c r="D211" i="18"/>
  <c r="G223" i="18"/>
  <c r="J263" i="18"/>
  <c r="G276" i="18"/>
  <c r="G260" i="18"/>
  <c r="D264" i="18"/>
  <c r="G209" i="18"/>
  <c r="D34" i="18"/>
  <c r="G65" i="18"/>
  <c r="D105" i="18"/>
  <c r="G182" i="18"/>
  <c r="J213" i="18"/>
  <c r="J197" i="18"/>
  <c r="J65" i="18"/>
  <c r="G122" i="18"/>
  <c r="G54" i="18"/>
  <c r="J117" i="18"/>
  <c r="D121" i="18"/>
  <c r="G211" i="18"/>
  <c r="J119" i="18"/>
  <c r="D101" i="18"/>
  <c r="G111" i="18"/>
  <c r="D107" i="18"/>
  <c r="D141" i="18"/>
  <c r="D125" i="18"/>
  <c r="D198" i="18"/>
  <c r="D190" i="18"/>
  <c r="G16" i="18"/>
  <c r="J95" i="18"/>
  <c r="J181" i="18"/>
  <c r="J165" i="18"/>
  <c r="J149" i="18"/>
  <c r="J133" i="18"/>
  <c r="D177" i="18"/>
  <c r="D161" i="18"/>
  <c r="D213" i="18"/>
  <c r="D240" i="18"/>
  <c r="D232" i="18"/>
  <c r="D224" i="18"/>
  <c r="D245" i="18"/>
  <c r="D229" i="18"/>
  <c r="G216" i="18"/>
  <c r="J185" i="18"/>
  <c r="D13" i="18"/>
  <c r="J92" i="18"/>
  <c r="G106" i="18"/>
  <c r="J47" i="18"/>
  <c r="D112" i="18"/>
  <c r="G72" i="18"/>
  <c r="G36" i="18"/>
  <c r="D90" i="18"/>
  <c r="G118" i="18"/>
  <c r="D114" i="18"/>
  <c r="D98" i="18"/>
  <c r="D74" i="18"/>
  <c r="J124" i="18"/>
  <c r="D58" i="18"/>
  <c r="G46" i="18"/>
  <c r="J58" i="18"/>
  <c r="D57" i="18"/>
  <c r="J72" i="18"/>
  <c r="G76" i="18"/>
  <c r="D70" i="18"/>
  <c r="J108" i="18"/>
  <c r="G104" i="18"/>
  <c r="J94" i="18"/>
  <c r="G49" i="18"/>
  <c r="D40" i="18"/>
  <c r="G41" i="18"/>
  <c r="G91" i="18"/>
  <c r="D76" i="18"/>
  <c r="J74" i="18"/>
  <c r="G19" i="18"/>
  <c r="G55" i="18"/>
  <c r="G39" i="18"/>
  <c r="J11" i="18"/>
  <c r="D32" i="18"/>
  <c r="J29" i="18"/>
  <c r="J26" i="18"/>
  <c r="J25" i="18"/>
  <c r="G21" i="18"/>
  <c r="J17" i="18"/>
  <c r="J14" i="18"/>
  <c r="G11" i="18"/>
  <c r="D9" i="18"/>
  <c r="J7" i="18"/>
  <c r="G6" i="18"/>
  <c r="D5" i="18"/>
  <c r="D210" i="18"/>
  <c r="G229" i="18"/>
  <c r="D168" i="18"/>
  <c r="J89" i="18"/>
  <c r="D140" i="18"/>
  <c r="D348" i="18"/>
  <c r="J319" i="18"/>
  <c r="D274" i="18"/>
  <c r="J162" i="18"/>
  <c r="D314" i="18"/>
  <c r="J241" i="18"/>
  <c r="G280" i="18"/>
  <c r="J349" i="18"/>
  <c r="J143" i="18"/>
  <c r="D277" i="18"/>
  <c r="D116" i="18"/>
  <c r="J235" i="18"/>
  <c r="D196" i="18"/>
  <c r="J276" i="18"/>
  <c r="J231" i="18"/>
  <c r="G252" i="18"/>
  <c r="J69" i="18"/>
  <c r="D154" i="18"/>
  <c r="D69" i="18"/>
  <c r="G117" i="18"/>
  <c r="G95" i="18"/>
  <c r="D205" i="18"/>
  <c r="G52" i="18"/>
  <c r="J157" i="18"/>
  <c r="D169" i="18"/>
  <c r="D236" i="18"/>
  <c r="D237" i="18"/>
  <c r="J20" i="18"/>
  <c r="D109" i="18"/>
  <c r="D21" i="18"/>
  <c r="D106" i="18"/>
  <c r="D124" i="18"/>
  <c r="J46" i="18"/>
  <c r="J116" i="18"/>
  <c r="G96" i="18"/>
  <c r="J45" i="18"/>
  <c r="J36" i="18"/>
  <c r="G83" i="18"/>
  <c r="D68" i="18"/>
  <c r="J63" i="18"/>
  <c r="J23" i="18"/>
  <c r="G31" i="18"/>
  <c r="J24" i="18"/>
  <c r="G13" i="18"/>
  <c r="D7" i="18"/>
  <c r="D298" i="18"/>
  <c r="G134" i="18"/>
  <c r="D43" i="18"/>
  <c r="G133" i="18"/>
  <c r="J115" i="18"/>
  <c r="G245" i="18"/>
  <c r="D297" i="18"/>
  <c r="D12" i="18"/>
  <c r="G184" i="18"/>
  <c r="G240" i="18"/>
  <c r="D318" i="18"/>
  <c r="J44" i="18"/>
  <c r="D155" i="18"/>
  <c r="D231" i="18"/>
  <c r="G279" i="18"/>
  <c r="J339" i="18"/>
  <c r="G310" i="18"/>
  <c r="D363" i="18"/>
  <c r="J359" i="18"/>
  <c r="G343" i="18"/>
  <c r="D134" i="18"/>
  <c r="G356" i="18"/>
  <c r="G315" i="18"/>
  <c r="J178" i="18"/>
  <c r="J176" i="18"/>
  <c r="D271" i="18"/>
  <c r="D251" i="18"/>
  <c r="D316" i="18"/>
  <c r="J218" i="18"/>
  <c r="D267" i="18"/>
  <c r="D284" i="18"/>
  <c r="J280" i="18"/>
  <c r="J320" i="18"/>
  <c r="G312" i="18"/>
  <c r="G127" i="18"/>
  <c r="J249" i="18"/>
  <c r="J306" i="18"/>
  <c r="G288" i="18"/>
  <c r="J217" i="18"/>
  <c r="G361" i="18"/>
  <c r="D349" i="18"/>
  <c r="J341" i="18"/>
  <c r="D227" i="18"/>
  <c r="J156" i="18"/>
  <c r="J245" i="18"/>
  <c r="J301" i="18"/>
  <c r="D278" i="18"/>
  <c r="G143" i="18"/>
  <c r="G246" i="18"/>
  <c r="D37" i="18"/>
  <c r="G139" i="18"/>
  <c r="G207" i="18"/>
  <c r="D195" i="18"/>
  <c r="D243" i="18"/>
  <c r="J77" i="18"/>
  <c r="J212" i="18"/>
  <c r="G200" i="18"/>
  <c r="J192" i="18"/>
  <c r="D123" i="18"/>
  <c r="G193" i="18"/>
  <c r="J264" i="18"/>
  <c r="J248" i="18"/>
  <c r="D191" i="18"/>
  <c r="J275" i="18"/>
  <c r="J259" i="18"/>
  <c r="G272" i="18"/>
  <c r="G256" i="18"/>
  <c r="D248" i="18"/>
  <c r="G205" i="18"/>
  <c r="J93" i="18"/>
  <c r="D73" i="18"/>
  <c r="J166" i="18"/>
  <c r="G166" i="18"/>
  <c r="J209" i="18"/>
  <c r="J193" i="18"/>
  <c r="D89" i="18"/>
  <c r="G170" i="18"/>
  <c r="D53" i="18"/>
  <c r="J97" i="18"/>
  <c r="D108" i="18"/>
  <c r="G192" i="18"/>
  <c r="J101" i="18"/>
  <c r="D113" i="18"/>
  <c r="G103" i="18"/>
  <c r="D153" i="18"/>
  <c r="D137" i="18"/>
  <c r="G197" i="18"/>
  <c r="G198" i="18"/>
  <c r="G190" i="18"/>
  <c r="J55" i="18"/>
  <c r="G119" i="18"/>
  <c r="J177" i="18"/>
  <c r="J161" i="18"/>
  <c r="J145" i="18"/>
  <c r="J129" i="18"/>
  <c r="D173" i="18"/>
  <c r="D157" i="18"/>
  <c r="D197" i="18"/>
  <c r="J240" i="18"/>
  <c r="J232" i="18"/>
  <c r="J224" i="18"/>
  <c r="D241" i="18"/>
  <c r="D225" i="18"/>
  <c r="J216" i="18"/>
  <c r="J43" i="18"/>
  <c r="J59" i="18"/>
  <c r="G88" i="18"/>
  <c r="D120" i="18"/>
  <c r="D82" i="18"/>
  <c r="D96" i="18"/>
  <c r="J13" i="18"/>
  <c r="D42" i="18"/>
  <c r="J114" i="18"/>
  <c r="G102" i="18"/>
  <c r="D110" i="18"/>
  <c r="J48" i="18"/>
  <c r="J122" i="18"/>
  <c r="G124" i="18"/>
  <c r="D50" i="18"/>
  <c r="J28" i="18"/>
  <c r="J51" i="18"/>
  <c r="D38" i="18"/>
  <c r="J64" i="18"/>
  <c r="G68" i="18"/>
  <c r="J120" i="18"/>
  <c r="J104" i="18"/>
  <c r="G116" i="18"/>
  <c r="G100" i="18"/>
  <c r="D94" i="18"/>
  <c r="D61" i="18"/>
  <c r="J49" i="18"/>
  <c r="D19" i="18"/>
  <c r="G56" i="18"/>
  <c r="G40" i="18"/>
  <c r="J52" i="18"/>
  <c r="J91" i="18"/>
  <c r="J75" i="18"/>
  <c r="G87" i="18"/>
  <c r="G71" i="18"/>
  <c r="D88" i="18"/>
  <c r="D72" i="18"/>
  <c r="J86" i="18"/>
  <c r="J70" i="18"/>
  <c r="D83" i="18"/>
  <c r="D67" i="18"/>
  <c r="D27" i="18"/>
  <c r="G51" i="18"/>
  <c r="G35" i="18"/>
  <c r="D15" i="18"/>
  <c r="J33" i="18"/>
  <c r="J31" i="18"/>
  <c r="G29" i="18"/>
  <c r="D26" i="18"/>
  <c r="D24" i="18"/>
  <c r="J21" i="18"/>
  <c r="G17" i="18"/>
  <c r="G14" i="18"/>
  <c r="D10" i="18"/>
  <c r="J8" i="18"/>
  <c r="G7" i="18"/>
  <c r="D6" i="18"/>
  <c r="G3" i="18"/>
  <c r="D282" i="18"/>
  <c r="G181" i="18"/>
  <c r="G99" i="18"/>
  <c r="J37" i="18"/>
  <c r="D360" i="18"/>
  <c r="D276" i="18"/>
  <c r="J334" i="18"/>
  <c r="G301" i="18"/>
  <c r="J269" i="18"/>
  <c r="D292" i="18"/>
  <c r="G338" i="18"/>
  <c r="J290" i="18"/>
  <c r="D357" i="18"/>
  <c r="J308" i="18"/>
  <c r="J293" i="18"/>
  <c r="D242" i="18"/>
  <c r="G202" i="18"/>
  <c r="D85" i="18"/>
  <c r="G37" i="18"/>
  <c r="J260" i="18"/>
  <c r="J271" i="18"/>
  <c r="G268" i="18"/>
  <c r="G201" i="18"/>
  <c r="J150" i="18"/>
  <c r="J189" i="18"/>
  <c r="G93" i="18"/>
  <c r="D209" i="18"/>
  <c r="G28" i="18"/>
  <c r="D133" i="18"/>
  <c r="D186" i="18"/>
  <c r="D119" i="18"/>
  <c r="J141" i="18"/>
  <c r="J35" i="18"/>
  <c r="D228" i="18"/>
  <c r="D221" i="18"/>
  <c r="J39" i="18"/>
  <c r="J110" i="18"/>
  <c r="J84" i="18"/>
  <c r="D122" i="18"/>
  <c r="J106" i="18"/>
  <c r="G32" i="18"/>
  <c r="G92" i="18"/>
  <c r="J100" i="18"/>
  <c r="G94" i="18"/>
  <c r="D60" i="18"/>
  <c r="J18" i="18"/>
  <c r="J71" i="18"/>
  <c r="D84" i="18"/>
  <c r="J66" i="18"/>
  <c r="D11" i="18"/>
  <c r="J34" i="18"/>
  <c r="D29" i="18"/>
  <c r="G20" i="18"/>
  <c r="J9" i="18"/>
  <c r="J5" i="18"/>
  <c r="D3" i="18"/>
  <c r="C4" i="16"/>
  <c r="D4" i="16" s="1"/>
  <c r="E4" i="16"/>
  <c r="E3" i="16"/>
  <c r="C3" i="16"/>
  <c r="E2" i="16"/>
  <c r="D2" i="16"/>
  <c r="C4" i="15"/>
  <c r="C3" i="15"/>
  <c r="D4" i="15"/>
  <c r="D2" i="15"/>
  <c r="D3" i="15"/>
  <c r="C2" i="15"/>
  <c r="K17" i="32" l="1"/>
  <c r="K27" i="32"/>
  <c r="K19" i="32"/>
  <c r="K31" i="32"/>
  <c r="K23" i="32"/>
  <c r="K15" i="32"/>
  <c r="K7" i="32"/>
  <c r="K33" i="32"/>
  <c r="K25" i="32"/>
  <c r="K9" i="32"/>
  <c r="K11" i="32"/>
  <c r="K29" i="32"/>
  <c r="K21" i="32"/>
  <c r="K13" i="32"/>
  <c r="K5" i="32"/>
  <c r="K3" i="32"/>
  <c r="Y15" i="12"/>
  <c r="AE15" i="12"/>
  <c r="AF15" i="12" s="1"/>
  <c r="AG15" i="12" s="1"/>
  <c r="S358" i="18"/>
  <c r="R358" i="18"/>
  <c r="R363" i="18"/>
  <c r="S363" i="18"/>
  <c r="S357" i="18"/>
  <c r="R357" i="18"/>
  <c r="S149" i="18"/>
  <c r="R149" i="18"/>
  <c r="S359" i="18"/>
  <c r="R359" i="18"/>
  <c r="S364" i="18"/>
  <c r="R364" i="18"/>
  <c r="S354" i="18"/>
  <c r="R354" i="18"/>
  <c r="S353" i="18"/>
  <c r="R353" i="18"/>
  <c r="S360" i="18"/>
  <c r="R360" i="18"/>
  <c r="S367" i="18"/>
  <c r="R367" i="18"/>
  <c r="S366" i="18"/>
  <c r="R366" i="18"/>
  <c r="S142" i="18"/>
  <c r="R142" i="18"/>
  <c r="S123" i="18"/>
  <c r="R123" i="18"/>
  <c r="S365" i="18"/>
  <c r="R365" i="18"/>
  <c r="S317" i="18"/>
  <c r="R317" i="18"/>
  <c r="S93" i="18"/>
  <c r="R93" i="18"/>
  <c r="S356" i="18"/>
  <c r="R356" i="18"/>
  <c r="E5" i="15"/>
  <c r="F5" i="15" s="1"/>
  <c r="R355" i="18"/>
  <c r="S355" i="18"/>
  <c r="S362" i="18"/>
  <c r="R362" i="18"/>
  <c r="S361" i="18"/>
  <c r="R361" i="18"/>
  <c r="S368" i="18"/>
  <c r="R368" i="18"/>
  <c r="F5" i="16"/>
  <c r="G5" i="16" s="1"/>
  <c r="W17" i="12"/>
  <c r="X16" i="12"/>
  <c r="AA16" i="12"/>
  <c r="I3" i="18"/>
  <c r="H3" i="18"/>
  <c r="F221" i="18"/>
  <c r="E221" i="18"/>
  <c r="F241" i="18"/>
  <c r="E241" i="18"/>
  <c r="F137" i="18"/>
  <c r="E137" i="18"/>
  <c r="N209" i="18"/>
  <c r="M209" i="18"/>
  <c r="N93" i="18"/>
  <c r="M93" i="18"/>
  <c r="F243" i="18"/>
  <c r="E243" i="18"/>
  <c r="F267" i="18"/>
  <c r="E267" i="18"/>
  <c r="F271" i="18"/>
  <c r="E271" i="18"/>
  <c r="F231" i="18"/>
  <c r="E231" i="18"/>
  <c r="N24" i="18"/>
  <c r="M24" i="18"/>
  <c r="I96" i="18"/>
  <c r="H96" i="18"/>
  <c r="F237" i="18"/>
  <c r="E237" i="18"/>
  <c r="I52" i="18"/>
  <c r="H52" i="18"/>
  <c r="F116" i="18"/>
  <c r="E116" i="18"/>
  <c r="F274" i="18"/>
  <c r="E274" i="18"/>
  <c r="F5" i="18"/>
  <c r="E5" i="18"/>
  <c r="I11" i="18"/>
  <c r="H11" i="18"/>
  <c r="I118" i="18"/>
  <c r="H118" i="18"/>
  <c r="F112" i="18"/>
  <c r="E112" i="18"/>
  <c r="F13" i="18"/>
  <c r="E13" i="18"/>
  <c r="F245" i="18"/>
  <c r="E245" i="18"/>
  <c r="F213" i="18"/>
  <c r="E213" i="18"/>
  <c r="I16" i="18"/>
  <c r="H16" i="18"/>
  <c r="F141" i="18"/>
  <c r="E141" i="18"/>
  <c r="N213" i="18"/>
  <c r="M213" i="18"/>
  <c r="F192" i="18"/>
  <c r="E192" i="18"/>
  <c r="F159" i="18"/>
  <c r="E159" i="18"/>
  <c r="F249" i="18"/>
  <c r="E249" i="18"/>
  <c r="F341" i="18"/>
  <c r="E341" i="18"/>
  <c r="N206" i="18"/>
  <c r="M206" i="18"/>
  <c r="F171" i="18"/>
  <c r="E171" i="18"/>
  <c r="E350" i="18"/>
  <c r="F350" i="18"/>
  <c r="N203" i="18"/>
  <c r="M203" i="18"/>
  <c r="F176" i="18"/>
  <c r="E176" i="18"/>
  <c r="F139" i="18"/>
  <c r="E139" i="18"/>
  <c r="F182" i="18"/>
  <c r="E182" i="18"/>
  <c r="I15" i="18"/>
  <c r="H15" i="18"/>
  <c r="F22" i="18"/>
  <c r="E22" i="18"/>
  <c r="I60" i="18"/>
  <c r="H60" i="18"/>
  <c r="F185" i="18"/>
  <c r="E185" i="18"/>
  <c r="F165" i="18"/>
  <c r="E165" i="18"/>
  <c r="F115" i="18"/>
  <c r="E115" i="18"/>
  <c r="I215" i="18"/>
  <c r="H215" i="18"/>
  <c r="N208" i="18"/>
  <c r="M208" i="18"/>
  <c r="F144" i="18"/>
  <c r="E144" i="18"/>
  <c r="N204" i="18"/>
  <c r="M204" i="18"/>
  <c r="N62" i="18"/>
  <c r="M62" i="18"/>
  <c r="F230" i="18"/>
  <c r="E230" i="18"/>
  <c r="N221" i="18"/>
  <c r="M221" i="18"/>
  <c r="F345" i="18"/>
  <c r="E345" i="18"/>
  <c r="F308" i="18"/>
  <c r="E308" i="18"/>
  <c r="F328" i="18"/>
  <c r="E328" i="18"/>
  <c r="F263" i="18"/>
  <c r="E263" i="18"/>
  <c r="F238" i="18"/>
  <c r="E238" i="18"/>
  <c r="F354" i="18"/>
  <c r="E354" i="18"/>
  <c r="I362" i="18"/>
  <c r="H362" i="18"/>
  <c r="F313" i="18"/>
  <c r="E313" i="18"/>
  <c r="F260" i="18"/>
  <c r="E260" i="18"/>
  <c r="F269" i="18"/>
  <c r="E269" i="18"/>
  <c r="F156" i="18"/>
  <c r="E156" i="18"/>
  <c r="I217" i="18"/>
  <c r="H217" i="18"/>
  <c r="F312" i="18"/>
  <c r="E312" i="18"/>
  <c r="F170" i="18"/>
  <c r="E170" i="18"/>
  <c r="E342" i="18"/>
  <c r="F342" i="18"/>
  <c r="F317" i="18"/>
  <c r="E317" i="18"/>
  <c r="F268" i="18"/>
  <c r="E268" i="18"/>
  <c r="F131" i="18"/>
  <c r="E131" i="18"/>
  <c r="F216" i="18"/>
  <c r="E216" i="18"/>
  <c r="F160" i="18"/>
  <c r="E160" i="18"/>
  <c r="F331" i="18"/>
  <c r="E331" i="18"/>
  <c r="F320" i="18"/>
  <c r="E320" i="18"/>
  <c r="F202" i="18"/>
  <c r="E202" i="18"/>
  <c r="F174" i="18"/>
  <c r="E174" i="18"/>
  <c r="E366" i="18"/>
  <c r="F366" i="18"/>
  <c r="F293" i="18"/>
  <c r="E293" i="18"/>
  <c r="F273" i="18"/>
  <c r="E273" i="18"/>
  <c r="I210" i="18"/>
  <c r="H210" i="18"/>
  <c r="F326" i="18"/>
  <c r="E326" i="18"/>
  <c r="F226" i="18"/>
  <c r="E226" i="18"/>
  <c r="F288" i="18"/>
  <c r="E288" i="18"/>
  <c r="I271" i="18"/>
  <c r="H271" i="18"/>
  <c r="F352" i="18"/>
  <c r="E352" i="18"/>
  <c r="F321" i="18"/>
  <c r="E321" i="18"/>
  <c r="F272" i="18"/>
  <c r="E272" i="18"/>
  <c r="F135" i="18"/>
  <c r="E135" i="18"/>
  <c r="I220" i="18"/>
  <c r="H220" i="18"/>
  <c r="F324" i="18"/>
  <c r="E324" i="18"/>
  <c r="F206" i="18"/>
  <c r="E206" i="18"/>
  <c r="F178" i="18"/>
  <c r="E178" i="18"/>
  <c r="F340" i="18"/>
  <c r="E340" i="18"/>
  <c r="F219" i="18"/>
  <c r="E219" i="18"/>
  <c r="N260" i="18"/>
  <c r="M260" i="18"/>
  <c r="F209" i="18"/>
  <c r="E209" i="18"/>
  <c r="F10" i="18"/>
  <c r="E10" i="18"/>
  <c r="F197" i="18"/>
  <c r="E197" i="18"/>
  <c r="F11" i="18"/>
  <c r="E11" i="18"/>
  <c r="F228" i="18"/>
  <c r="E228" i="18"/>
  <c r="F186" i="18"/>
  <c r="E186" i="18"/>
  <c r="F292" i="18"/>
  <c r="E292" i="18"/>
  <c r="F6" i="18"/>
  <c r="E6" i="18"/>
  <c r="I14" i="18"/>
  <c r="H14" i="18"/>
  <c r="F15" i="18"/>
  <c r="E15" i="18"/>
  <c r="I56" i="18"/>
  <c r="H56" i="18"/>
  <c r="F157" i="18"/>
  <c r="E157" i="18"/>
  <c r="F153" i="18"/>
  <c r="E153" i="18"/>
  <c r="F195" i="18"/>
  <c r="E195" i="18"/>
  <c r="F349" i="18"/>
  <c r="E349" i="18"/>
  <c r="F134" i="18"/>
  <c r="E134" i="18"/>
  <c r="F155" i="18"/>
  <c r="E155" i="18"/>
  <c r="F298" i="18"/>
  <c r="E298" i="18"/>
  <c r="F21" i="18"/>
  <c r="E21" i="18"/>
  <c r="F236" i="18"/>
  <c r="E236" i="18"/>
  <c r="F205" i="18"/>
  <c r="E205" i="18"/>
  <c r="F154" i="18"/>
  <c r="E154" i="18"/>
  <c r="F277" i="18"/>
  <c r="E277" i="18"/>
  <c r="F168" i="18"/>
  <c r="E168" i="18"/>
  <c r="I6" i="18"/>
  <c r="H6" i="18"/>
  <c r="F224" i="18"/>
  <c r="E224" i="18"/>
  <c r="F161" i="18"/>
  <c r="E161" i="18"/>
  <c r="F190" i="18"/>
  <c r="E190" i="18"/>
  <c r="F107" i="18"/>
  <c r="E107" i="18"/>
  <c r="I211" i="18"/>
  <c r="H211" i="18"/>
  <c r="I209" i="18"/>
  <c r="K209" i="18" s="1"/>
  <c r="L209" i="18" s="1"/>
  <c r="H209" i="18"/>
  <c r="F200" i="18"/>
  <c r="E200" i="18"/>
  <c r="F215" i="18"/>
  <c r="E215" i="18"/>
  <c r="F275" i="18"/>
  <c r="E275" i="18"/>
  <c r="N328" i="18"/>
  <c r="M328" i="18"/>
  <c r="F347" i="18"/>
  <c r="E347" i="18"/>
  <c r="I4" i="18"/>
  <c r="H4" i="18"/>
  <c r="F212" i="18"/>
  <c r="E212" i="18"/>
  <c r="F18" i="18"/>
  <c r="E18" i="18"/>
  <c r="F8" i="18"/>
  <c r="E8" i="18"/>
  <c r="F217" i="18"/>
  <c r="E217" i="18"/>
  <c r="F181" i="18"/>
  <c r="E181" i="18"/>
  <c r="F189" i="18"/>
  <c r="E189" i="18"/>
  <c r="N214" i="18"/>
  <c r="M214" i="18"/>
  <c r="F365" i="18"/>
  <c r="E365" i="18"/>
  <c r="F246" i="18"/>
  <c r="E246" i="18"/>
  <c r="F294" i="18"/>
  <c r="E294" i="18"/>
  <c r="F207" i="18"/>
  <c r="E207" i="18"/>
  <c r="I243" i="18"/>
  <c r="H243" i="18"/>
  <c r="F270" i="18"/>
  <c r="E270" i="18"/>
  <c r="I208" i="18"/>
  <c r="H208" i="18"/>
  <c r="I160" i="18"/>
  <c r="H160" i="18"/>
  <c r="F329" i="18"/>
  <c r="E329" i="18"/>
  <c r="I219" i="18"/>
  <c r="H219" i="18"/>
  <c r="F143" i="18"/>
  <c r="E143" i="18"/>
  <c r="F172" i="18"/>
  <c r="E172" i="18"/>
  <c r="F281" i="18"/>
  <c r="E281" i="18"/>
  <c r="F103" i="18"/>
  <c r="E103" i="18"/>
  <c r="F336" i="18"/>
  <c r="E336" i="18"/>
  <c r="F214" i="18"/>
  <c r="E214" i="18"/>
  <c r="F339" i="18"/>
  <c r="E339" i="18"/>
  <c r="F164" i="18"/>
  <c r="E164" i="18"/>
  <c r="I306" i="18"/>
  <c r="H306" i="18"/>
  <c r="F333" i="18"/>
  <c r="E333" i="18"/>
  <c r="F223" i="18"/>
  <c r="E223" i="18"/>
  <c r="F147" i="18"/>
  <c r="E147" i="18"/>
  <c r="F285" i="18"/>
  <c r="E285" i="18"/>
  <c r="E358" i="18"/>
  <c r="F358" i="18"/>
  <c r="N210" i="18"/>
  <c r="M210" i="18"/>
  <c r="F353" i="18"/>
  <c r="E353" i="18"/>
  <c r="F368" i="18"/>
  <c r="E368" i="18"/>
  <c r="F184" i="18"/>
  <c r="E184" i="18"/>
  <c r="I322" i="18"/>
  <c r="H322" i="18"/>
  <c r="H358" i="18"/>
  <c r="I358" i="18"/>
  <c r="F338" i="18"/>
  <c r="E338" i="18"/>
  <c r="F337" i="18"/>
  <c r="E337" i="18"/>
  <c r="F151" i="18"/>
  <c r="E151" i="18"/>
  <c r="I236" i="18"/>
  <c r="H236" i="18"/>
  <c r="F180" i="18"/>
  <c r="E180" i="18"/>
  <c r="F289" i="18"/>
  <c r="E289" i="18"/>
  <c r="F111" i="18"/>
  <c r="E111" i="18"/>
  <c r="F130" i="18"/>
  <c r="E130" i="18"/>
  <c r="E346" i="18"/>
  <c r="F346" i="18"/>
  <c r="F311" i="18"/>
  <c r="E311" i="18"/>
  <c r="F300" i="18"/>
  <c r="E300" i="18"/>
  <c r="F279" i="18"/>
  <c r="E279" i="18"/>
  <c r="F242" i="18"/>
  <c r="E242" i="18"/>
  <c r="F122" i="18"/>
  <c r="E122" i="18"/>
  <c r="F24" i="18"/>
  <c r="E24" i="18"/>
  <c r="I20" i="18"/>
  <c r="H20" i="18"/>
  <c r="F133" i="18"/>
  <c r="E133" i="18"/>
  <c r="F360" i="18"/>
  <c r="E360" i="18"/>
  <c r="F282" i="18"/>
  <c r="E282" i="18"/>
  <c r="I7" i="18"/>
  <c r="H7" i="18"/>
  <c r="I17" i="18"/>
  <c r="H17" i="18"/>
  <c r="F19" i="18"/>
  <c r="E19" i="18"/>
  <c r="I68" i="18"/>
  <c r="H68" i="18"/>
  <c r="F120" i="18"/>
  <c r="E120" i="18"/>
  <c r="N216" i="18"/>
  <c r="M216" i="18"/>
  <c r="F173" i="18"/>
  <c r="E173" i="18"/>
  <c r="F248" i="18"/>
  <c r="E248" i="18"/>
  <c r="N212" i="18"/>
  <c r="M212" i="18"/>
  <c r="F316" i="18"/>
  <c r="E316" i="18"/>
  <c r="F12" i="18"/>
  <c r="E12" i="18"/>
  <c r="F7" i="18"/>
  <c r="E7" i="18"/>
  <c r="F196" i="18"/>
  <c r="E196" i="18"/>
  <c r="F314" i="18"/>
  <c r="E314" i="18"/>
  <c r="F348" i="18"/>
  <c r="E348" i="18"/>
  <c r="I229" i="18"/>
  <c r="H229" i="18"/>
  <c r="I46" i="18"/>
  <c r="H46" i="18"/>
  <c r="I216" i="18"/>
  <c r="H216" i="18"/>
  <c r="F232" i="18"/>
  <c r="E232" i="18"/>
  <c r="F177" i="18"/>
  <c r="E177" i="18"/>
  <c r="F198" i="18"/>
  <c r="E198" i="18"/>
  <c r="I111" i="18"/>
  <c r="H111" i="18"/>
  <c r="F264" i="18"/>
  <c r="E264" i="18"/>
  <c r="I213" i="18"/>
  <c r="H213" i="18"/>
  <c r="I212" i="18"/>
  <c r="H212" i="18"/>
  <c r="N172" i="18"/>
  <c r="M172" i="18"/>
  <c r="F295" i="18"/>
  <c r="E295" i="18"/>
  <c r="I8" i="18"/>
  <c r="H8" i="18"/>
  <c r="F220" i="18"/>
  <c r="E220" i="18"/>
  <c r="F194" i="18"/>
  <c r="E194" i="18"/>
  <c r="F201" i="18"/>
  <c r="E201" i="18"/>
  <c r="F234" i="18"/>
  <c r="E234" i="18"/>
  <c r="F235" i="18"/>
  <c r="E235" i="18"/>
  <c r="I278" i="18"/>
  <c r="H278" i="18"/>
  <c r="F4" i="18"/>
  <c r="E4" i="18"/>
  <c r="I9" i="18"/>
  <c r="H9" i="18"/>
  <c r="I59" i="18"/>
  <c r="H59" i="18"/>
  <c r="I12" i="18"/>
  <c r="H12" i="18"/>
  <c r="F233" i="18"/>
  <c r="E233" i="18"/>
  <c r="F222" i="18"/>
  <c r="E222" i="18"/>
  <c r="N215" i="18"/>
  <c r="M215" i="18"/>
  <c r="F323" i="18"/>
  <c r="E323" i="18"/>
  <c r="F256" i="18"/>
  <c r="E256" i="18"/>
  <c r="F265" i="18"/>
  <c r="E265" i="18"/>
  <c r="I214" i="18"/>
  <c r="H214" i="18"/>
  <c r="F283" i="18"/>
  <c r="E283" i="18"/>
  <c r="I357" i="18"/>
  <c r="H357" i="18"/>
  <c r="F296" i="18"/>
  <c r="E296" i="18"/>
  <c r="F280" i="18"/>
  <c r="E280" i="18"/>
  <c r="N242" i="18"/>
  <c r="M242" i="18"/>
  <c r="F332" i="18"/>
  <c r="E332" i="18"/>
  <c r="F364" i="18"/>
  <c r="E364" i="18"/>
  <c r="F343" i="18"/>
  <c r="E343" i="18"/>
  <c r="F322" i="18"/>
  <c r="E322" i="18"/>
  <c r="F16" i="18"/>
  <c r="E16" i="18"/>
  <c r="F301" i="18"/>
  <c r="E301" i="18"/>
  <c r="N186" i="18"/>
  <c r="M186" i="18"/>
  <c r="F286" i="18"/>
  <c r="E286" i="18"/>
  <c r="F287" i="18"/>
  <c r="E287" i="18"/>
  <c r="F239" i="18"/>
  <c r="E239" i="18"/>
  <c r="F128" i="18"/>
  <c r="E128" i="18"/>
  <c r="F20" i="18"/>
  <c r="E20" i="18"/>
  <c r="F305" i="18"/>
  <c r="E305" i="18"/>
  <c r="F142" i="18"/>
  <c r="E142" i="18"/>
  <c r="F290" i="18"/>
  <c r="E290" i="18"/>
  <c r="N211" i="18"/>
  <c r="M211" i="18"/>
  <c r="N297" i="18"/>
  <c r="M297" i="18"/>
  <c r="F199" i="18"/>
  <c r="E199" i="18"/>
  <c r="F304" i="18"/>
  <c r="E304" i="18"/>
  <c r="F355" i="18"/>
  <c r="E355" i="18"/>
  <c r="N298" i="18"/>
  <c r="M298" i="18"/>
  <c r="F351" i="18"/>
  <c r="E351" i="18"/>
  <c r="F167" i="18"/>
  <c r="E167" i="18"/>
  <c r="F132" i="18"/>
  <c r="E132" i="18"/>
  <c r="F250" i="18"/>
  <c r="E250" i="18"/>
  <c r="I145" i="18"/>
  <c r="H145" i="18"/>
  <c r="F146" i="18"/>
  <c r="E146" i="18"/>
  <c r="E362" i="18"/>
  <c r="F362" i="18"/>
  <c r="F3" i="18"/>
  <c r="E3" i="18"/>
  <c r="I51" i="18"/>
  <c r="H51" i="18"/>
  <c r="F110" i="18"/>
  <c r="E110" i="18"/>
  <c r="F225" i="18"/>
  <c r="E225" i="18"/>
  <c r="F191" i="18"/>
  <c r="E191" i="18"/>
  <c r="F123" i="18"/>
  <c r="E123" i="18"/>
  <c r="F278" i="18"/>
  <c r="E278" i="18"/>
  <c r="F227" i="18"/>
  <c r="E227" i="18"/>
  <c r="F284" i="18"/>
  <c r="E284" i="18"/>
  <c r="F251" i="18"/>
  <c r="E251" i="18"/>
  <c r="F297" i="18"/>
  <c r="E297" i="18"/>
  <c r="I13" i="18"/>
  <c r="H13" i="18"/>
  <c r="F124" i="18"/>
  <c r="E124" i="18"/>
  <c r="F140" i="18"/>
  <c r="E140" i="18"/>
  <c r="F210" i="18"/>
  <c r="E210" i="18"/>
  <c r="F9" i="18"/>
  <c r="E9" i="18"/>
  <c r="F114" i="18"/>
  <c r="E114" i="18"/>
  <c r="F229" i="18"/>
  <c r="E229" i="18"/>
  <c r="F240" i="18"/>
  <c r="E240" i="18"/>
  <c r="F125" i="18"/>
  <c r="E125" i="18"/>
  <c r="I260" i="18"/>
  <c r="H260" i="18"/>
  <c r="F211" i="18"/>
  <c r="E211" i="18"/>
  <c r="F150" i="18"/>
  <c r="E150" i="18"/>
  <c r="H346" i="18"/>
  <c r="I346" i="18"/>
  <c r="F188" i="18"/>
  <c r="E188" i="18"/>
  <c r="F136" i="18"/>
  <c r="E136" i="18"/>
  <c r="F247" i="18"/>
  <c r="E247" i="18"/>
  <c r="F244" i="18"/>
  <c r="E244" i="18"/>
  <c r="F149" i="18"/>
  <c r="E149" i="18"/>
  <c r="N205" i="18"/>
  <c r="M205" i="18"/>
  <c r="N207" i="18"/>
  <c r="M207" i="18"/>
  <c r="F259" i="18"/>
  <c r="E259" i="18"/>
  <c r="F330" i="18"/>
  <c r="E330" i="18"/>
  <c r="F325" i="18"/>
  <c r="E325" i="18"/>
  <c r="I5" i="18"/>
  <c r="H5" i="18"/>
  <c r="F25" i="18"/>
  <c r="E25" i="18"/>
  <c r="I62" i="18"/>
  <c r="H62" i="18"/>
  <c r="N102" i="18"/>
  <c r="M102" i="18"/>
  <c r="F17" i="18"/>
  <c r="E17" i="18"/>
  <c r="I186" i="18"/>
  <c r="H186" i="18"/>
  <c r="F145" i="18"/>
  <c r="E145" i="18"/>
  <c r="F203" i="18"/>
  <c r="E203" i="18"/>
  <c r="F193" i="18"/>
  <c r="E193" i="18"/>
  <c r="F138" i="18"/>
  <c r="E138" i="18"/>
  <c r="I230" i="18"/>
  <c r="H230" i="18"/>
  <c r="F163" i="18"/>
  <c r="E163" i="18"/>
  <c r="F208" i="18"/>
  <c r="E208" i="18"/>
  <c r="F152" i="18"/>
  <c r="E152" i="18"/>
  <c r="I218" i="18"/>
  <c r="H218" i="18"/>
  <c r="F166" i="18"/>
  <c r="E166" i="18"/>
  <c r="I307" i="18"/>
  <c r="H307" i="18"/>
  <c r="I341" i="18"/>
  <c r="H341" i="18"/>
  <c r="F158" i="18"/>
  <c r="E158" i="18"/>
  <c r="F299" i="18"/>
  <c r="E299" i="18"/>
  <c r="F175" i="18"/>
  <c r="E175" i="18"/>
  <c r="F23" i="18"/>
  <c r="E23" i="18"/>
  <c r="F253" i="18"/>
  <c r="E253" i="18"/>
  <c r="F262" i="18"/>
  <c r="E262" i="18"/>
  <c r="I10" i="18"/>
  <c r="H10" i="18"/>
  <c r="F302" i="18"/>
  <c r="E302" i="18"/>
  <c r="F334" i="18"/>
  <c r="E334" i="18"/>
  <c r="F266" i="18"/>
  <c r="E266" i="18"/>
  <c r="F303" i="18"/>
  <c r="E303" i="18"/>
  <c r="F179" i="18"/>
  <c r="E179" i="18"/>
  <c r="F257" i="18"/>
  <c r="E257" i="18"/>
  <c r="F315" i="18"/>
  <c r="E315" i="18"/>
  <c r="F14" i="18"/>
  <c r="E14" i="18"/>
  <c r="F306" i="18"/>
  <c r="E306" i="18"/>
  <c r="F307" i="18"/>
  <c r="E307" i="18"/>
  <c r="F218" i="18"/>
  <c r="E218" i="18"/>
  <c r="F62" i="18"/>
  <c r="E62" i="18"/>
  <c r="F255" i="18"/>
  <c r="E255" i="18"/>
  <c r="F254" i="18"/>
  <c r="E254" i="18"/>
  <c r="M333" i="18"/>
  <c r="N333" i="18"/>
  <c r="F367" i="18"/>
  <c r="E367" i="18"/>
  <c r="F252" i="18"/>
  <c r="E252" i="18"/>
  <c r="F204" i="18"/>
  <c r="E204" i="18"/>
  <c r="F183" i="18"/>
  <c r="E183" i="18"/>
  <c r="F261" i="18"/>
  <c r="E261" i="18"/>
  <c r="F148" i="18"/>
  <c r="E148" i="18"/>
  <c r="F319" i="18"/>
  <c r="E319" i="18"/>
  <c r="I18" i="18"/>
  <c r="H18" i="18"/>
  <c r="F162" i="18"/>
  <c r="E162" i="18"/>
  <c r="F310" i="18"/>
  <c r="E310" i="18"/>
  <c r="F4" i="16"/>
  <c r="G4" i="16" s="1"/>
  <c r="F2" i="16"/>
  <c r="G2" i="16" s="1"/>
  <c r="D3" i="16"/>
  <c r="F3" i="16"/>
  <c r="E2" i="15"/>
  <c r="F2" i="15" s="1"/>
  <c r="E4" i="15"/>
  <c r="F4" i="15" s="1"/>
  <c r="E3" i="15"/>
  <c r="F3" i="15" s="1"/>
  <c r="Y16" i="12" l="1"/>
  <c r="AE16" i="12"/>
  <c r="AF16" i="12" s="1"/>
  <c r="AG16" i="12" s="1"/>
  <c r="T93" i="18"/>
  <c r="U93" i="18" s="1"/>
  <c r="K5" i="18"/>
  <c r="L5" i="18" s="1"/>
  <c r="K213" i="18"/>
  <c r="L213" i="18" s="1"/>
  <c r="K13" i="18"/>
  <c r="L13" i="18" s="1"/>
  <c r="K160" i="18"/>
  <c r="L160" i="18" s="1"/>
  <c r="K346" i="18"/>
  <c r="L346" i="18" s="1"/>
  <c r="K230" i="18"/>
  <c r="L230" i="18" s="1"/>
  <c r="K8" i="18"/>
  <c r="L8" i="18" s="1"/>
  <c r="K212" i="18"/>
  <c r="L212" i="18" s="1"/>
  <c r="K243" i="18"/>
  <c r="L243" i="18" s="1"/>
  <c r="K111" i="18"/>
  <c r="L111" i="18" s="1"/>
  <c r="O210" i="18"/>
  <c r="P210" i="18" s="1"/>
  <c r="K219" i="18"/>
  <c r="L219" i="18" s="1"/>
  <c r="K358" i="18"/>
  <c r="L358" i="18" s="1"/>
  <c r="K260" i="18"/>
  <c r="L260" i="18" s="1"/>
  <c r="O211" i="18"/>
  <c r="P211" i="18" s="1"/>
  <c r="K214" i="18"/>
  <c r="L214" i="18" s="1"/>
  <c r="K18" i="18"/>
  <c r="L18" i="18" s="1"/>
  <c r="K10" i="18"/>
  <c r="L10" i="18" s="1"/>
  <c r="K186" i="18"/>
  <c r="L186" i="18" s="1"/>
  <c r="K216" i="18"/>
  <c r="L216" i="18" s="1"/>
  <c r="K271" i="18"/>
  <c r="L271" i="18" s="1"/>
  <c r="O215" i="18"/>
  <c r="P215" i="18" s="1"/>
  <c r="K236" i="18"/>
  <c r="L236" i="18" s="1"/>
  <c r="K6" i="18"/>
  <c r="L6" i="18" s="1"/>
  <c r="K341" i="18"/>
  <c r="L341" i="18" s="1"/>
  <c r="O216" i="18"/>
  <c r="P216" i="18" s="1"/>
  <c r="O214" i="18"/>
  <c r="P214" i="18" s="1"/>
  <c r="O62" i="18"/>
  <c r="P62" i="18" s="1"/>
  <c r="O213" i="18"/>
  <c r="P213" i="18" s="1"/>
  <c r="O209" i="18"/>
  <c r="P209" i="18" s="1"/>
  <c r="O186" i="18"/>
  <c r="P186" i="18" s="1"/>
  <c r="O212" i="18"/>
  <c r="P212" i="18" s="1"/>
  <c r="O260" i="18"/>
  <c r="P260" i="18" s="1"/>
  <c r="O208" i="18"/>
  <c r="P208" i="18" s="1"/>
  <c r="K62" i="18"/>
  <c r="L62" i="18" s="1"/>
  <c r="K17" i="18"/>
  <c r="L17" i="18" s="1"/>
  <c r="K322" i="18"/>
  <c r="L322" i="18" s="1"/>
  <c r="K306" i="18"/>
  <c r="L306" i="18" s="1"/>
  <c r="K208" i="18"/>
  <c r="L208" i="18" s="1"/>
  <c r="K14" i="18"/>
  <c r="L14" i="18" s="1"/>
  <c r="K220" i="18"/>
  <c r="L220" i="18" s="1"/>
  <c r="K215" i="18"/>
  <c r="L215" i="18" s="1"/>
  <c r="K15" i="18"/>
  <c r="L15" i="18" s="1"/>
  <c r="K16" i="18"/>
  <c r="L16" i="18" s="1"/>
  <c r="K11" i="18"/>
  <c r="L11" i="18" s="1"/>
  <c r="K3" i="18"/>
  <c r="L3" i="18" s="1"/>
  <c r="K307" i="18"/>
  <c r="L307" i="18" s="1"/>
  <c r="K218" i="18"/>
  <c r="L218" i="18" s="1"/>
  <c r="K145" i="18"/>
  <c r="L145" i="18" s="1"/>
  <c r="K12" i="18"/>
  <c r="L12" i="18" s="1"/>
  <c r="K9" i="18"/>
  <c r="L9" i="18" s="1"/>
  <c r="K278" i="18"/>
  <c r="L278" i="18" s="1"/>
  <c r="K229" i="18"/>
  <c r="L229" i="18" s="1"/>
  <c r="K7" i="18"/>
  <c r="L7" i="18" s="1"/>
  <c r="K20" i="18"/>
  <c r="L20" i="18" s="1"/>
  <c r="K4" i="18"/>
  <c r="L4" i="18" s="1"/>
  <c r="K211" i="18"/>
  <c r="L211" i="18" s="1"/>
  <c r="K210" i="18"/>
  <c r="L210" i="18" s="1"/>
  <c r="K217" i="18"/>
  <c r="L217" i="18" s="1"/>
  <c r="K362" i="18"/>
  <c r="L362" i="18" s="1"/>
  <c r="W18" i="12"/>
  <c r="X17" i="12"/>
  <c r="AA17" i="12"/>
  <c r="G3" i="16"/>
  <c r="Y17" i="12" l="1"/>
  <c r="AE17" i="12"/>
  <c r="AF17" i="12" s="1"/>
  <c r="AG17" i="12" s="1"/>
  <c r="C3" i="30"/>
  <c r="C3" i="31"/>
  <c r="C3" i="24"/>
  <c r="W19" i="12"/>
  <c r="W20" i="12" s="1"/>
  <c r="W21" i="12" s="1"/>
  <c r="W22" i="12" s="1"/>
  <c r="W23" i="12" s="1"/>
  <c r="X18" i="12"/>
  <c r="AA18" i="12"/>
  <c r="Y18" i="12" l="1"/>
  <c r="AE18" i="12"/>
  <c r="AF18" i="12" s="1"/>
  <c r="AG18" i="12" s="1"/>
  <c r="X23" i="12"/>
  <c r="AA23" i="12"/>
  <c r="X22" i="12"/>
  <c r="AA22" i="12"/>
  <c r="X21" i="12"/>
  <c r="AA21" i="12"/>
  <c r="AA20" i="12"/>
  <c r="X20" i="12"/>
  <c r="X19" i="12"/>
  <c r="AA19" i="12"/>
  <c r="U15" i="7" l="1"/>
  <c r="U16" i="7"/>
  <c r="Y15" i="7"/>
  <c r="Y16" i="7"/>
  <c r="U11" i="7"/>
  <c r="U12" i="7"/>
  <c r="U14" i="7"/>
  <c r="U13" i="7"/>
  <c r="Y11" i="7"/>
  <c r="Y12" i="7"/>
  <c r="Y14" i="7"/>
  <c r="Y13" i="7"/>
  <c r="U10" i="7"/>
  <c r="U9" i="7"/>
  <c r="Y9" i="7"/>
  <c r="Y10" i="7"/>
  <c r="U8" i="7"/>
  <c r="Y8" i="7"/>
  <c r="U7" i="7"/>
  <c r="Y7" i="7"/>
  <c r="U6" i="7"/>
  <c r="U5" i="7"/>
  <c r="Y5" i="7"/>
  <c r="Y6" i="7"/>
  <c r="U4" i="7"/>
  <c r="Y4" i="7"/>
  <c r="Y19" i="12"/>
  <c r="AE19" i="12"/>
  <c r="AF19" i="12" s="1"/>
  <c r="AG19" i="12" s="1"/>
  <c r="Y21" i="12"/>
  <c r="AE21" i="12"/>
  <c r="AF21" i="12" s="1"/>
  <c r="AG21" i="12" s="1"/>
  <c r="Y23" i="12"/>
  <c r="AE23" i="12"/>
  <c r="AF23" i="12" s="1"/>
  <c r="AG23" i="12" s="1"/>
  <c r="Y20" i="12"/>
  <c r="AE20" i="12"/>
  <c r="AF20" i="12" s="1"/>
  <c r="AG20" i="12" s="1"/>
  <c r="Y22" i="12"/>
  <c r="AE22" i="12"/>
  <c r="AF22" i="12" s="1"/>
  <c r="AG22" i="12" s="1"/>
  <c r="K4" i="16"/>
  <c r="J5" i="15"/>
  <c r="H4" i="16"/>
  <c r="E83" i="18"/>
  <c r="E113" i="18"/>
  <c r="E121" i="18"/>
  <c r="H37" i="18"/>
  <c r="H64" i="18"/>
  <c r="H69" i="18"/>
  <c r="H73" i="18"/>
  <c r="H85" i="18"/>
  <c r="H93" i="18"/>
  <c r="H98" i="18"/>
  <c r="H110" i="18"/>
  <c r="H120" i="18"/>
  <c r="H128" i="18"/>
  <c r="H132" i="18"/>
  <c r="H136" i="18"/>
  <c r="H140" i="18"/>
  <c r="H149" i="18"/>
  <c r="H153" i="18"/>
  <c r="H162" i="18"/>
  <c r="H166" i="18"/>
  <c r="H170" i="18"/>
  <c r="H199" i="18"/>
  <c r="H224" i="18"/>
  <c r="H228" i="18"/>
  <c r="H261" i="18"/>
  <c r="H295" i="18"/>
  <c r="H330" i="18"/>
  <c r="H23" i="18"/>
  <c r="H54" i="18"/>
  <c r="H142" i="18"/>
  <c r="H285" i="18"/>
  <c r="H22" i="18"/>
  <c r="H65" i="18"/>
  <c r="H86" i="18"/>
  <c r="H94" i="18"/>
  <c r="H133" i="18"/>
  <c r="H163" i="18"/>
  <c r="H171" i="18"/>
  <c r="H66" i="18"/>
  <c r="H351" i="18"/>
  <c r="E55" i="18"/>
  <c r="E85" i="18"/>
  <c r="E78" i="18"/>
  <c r="H24" i="18"/>
  <c r="H165" i="18"/>
  <c r="H290" i="18"/>
  <c r="H345" i="18"/>
  <c r="J3" i="15"/>
  <c r="H77" i="18"/>
  <c r="H102" i="18"/>
  <c r="B8" i="31"/>
  <c r="B11" i="31"/>
  <c r="B7" i="31"/>
  <c r="C31" i="23"/>
  <c r="C24" i="23"/>
  <c r="C18" i="23"/>
  <c r="AA16" i="7" l="1"/>
  <c r="AA15" i="7"/>
  <c r="R351" i="18" s="1"/>
  <c r="AA14" i="7"/>
  <c r="R350" i="18" s="1"/>
  <c r="AA13" i="7"/>
  <c r="H332" i="18"/>
  <c r="H258" i="18"/>
  <c r="H195" i="18"/>
  <c r="H178" i="18"/>
  <c r="H144" i="18"/>
  <c r="AA12" i="7"/>
  <c r="AA11" i="7"/>
  <c r="R347" i="18" s="1"/>
  <c r="AA10" i="7"/>
  <c r="R346" i="18" s="1"/>
  <c r="AA9" i="7"/>
  <c r="R345" i="18" s="1"/>
  <c r="AA8" i="7"/>
  <c r="R344" i="18" s="1"/>
  <c r="AA7" i="7"/>
  <c r="R343" i="18" s="1"/>
  <c r="AA6" i="7"/>
  <c r="R342" i="18" s="1"/>
  <c r="AA5" i="7"/>
  <c r="R341" i="18" s="1"/>
  <c r="AA4" i="7"/>
  <c r="R340" i="18" s="1"/>
  <c r="R338" i="18"/>
  <c r="R336" i="18"/>
  <c r="H5" i="16"/>
  <c r="R235" i="18"/>
  <c r="R334" i="18"/>
  <c r="R332" i="18"/>
  <c r="R330" i="18"/>
  <c r="R329" i="18"/>
  <c r="R328" i="18"/>
  <c r="R326" i="18"/>
  <c r="R324" i="18"/>
  <c r="R322" i="18"/>
  <c r="R318" i="18"/>
  <c r="R316" i="18"/>
  <c r="R315" i="18"/>
  <c r="R313" i="18"/>
  <c r="R312" i="18"/>
  <c r="R306" i="18"/>
  <c r="R305" i="18"/>
  <c r="R303" i="18"/>
  <c r="R299" i="18"/>
  <c r="R296" i="18"/>
  <c r="R295" i="18"/>
  <c r="R294" i="18"/>
  <c r="R292" i="18"/>
  <c r="R291" i="18"/>
  <c r="R290" i="18"/>
  <c r="B13" i="31"/>
  <c r="B3" i="31"/>
  <c r="B4" i="31"/>
  <c r="B10" i="31"/>
  <c r="C2" i="31"/>
  <c r="B2" i="31"/>
  <c r="B5" i="31"/>
  <c r="B6" i="31"/>
  <c r="B12" i="31"/>
  <c r="R285" i="18"/>
  <c r="R282" i="18"/>
  <c r="R278" i="18"/>
  <c r="R276" i="18"/>
  <c r="R275" i="18"/>
  <c r="R274" i="18"/>
  <c r="R271" i="18"/>
  <c r="R267" i="18"/>
  <c r="R259" i="18"/>
  <c r="R264" i="18"/>
  <c r="R256" i="18"/>
  <c r="R255" i="18"/>
  <c r="R254" i="18"/>
  <c r="R250" i="18"/>
  <c r="R249" i="18"/>
  <c r="R248" i="18"/>
  <c r="R247" i="18"/>
  <c r="R245" i="18"/>
  <c r="R242" i="18"/>
  <c r="R240" i="18"/>
  <c r="R234" i="18"/>
  <c r="R227" i="18"/>
  <c r="R225" i="18"/>
  <c r="R224" i="18"/>
  <c r="R221" i="18"/>
  <c r="R220" i="18"/>
  <c r="R217" i="18"/>
  <c r="R214" i="18"/>
  <c r="R213" i="18"/>
  <c r="R210" i="18"/>
  <c r="R209" i="18"/>
  <c r="R204" i="18"/>
  <c r="R198" i="18"/>
  <c r="R190" i="18"/>
  <c r="R188" i="18"/>
  <c r="R187" i="18"/>
  <c r="R186" i="18"/>
  <c r="R185" i="18"/>
  <c r="R184" i="18"/>
  <c r="R180" i="18"/>
  <c r="R179" i="18"/>
  <c r="R172" i="18"/>
  <c r="R170" i="18"/>
  <c r="R163" i="18"/>
  <c r="R161" i="18"/>
  <c r="R160" i="18"/>
  <c r="R157" i="18"/>
  <c r="R155" i="18"/>
  <c r="R154" i="18"/>
  <c r="R141" i="18"/>
  <c r="R140" i="18"/>
  <c r="R131" i="18"/>
  <c r="R129" i="18"/>
  <c r="R113" i="18"/>
  <c r="R110" i="18"/>
  <c r="R109" i="18"/>
  <c r="R106" i="18"/>
  <c r="R105" i="18"/>
  <c r="R104" i="18"/>
  <c r="R103" i="18"/>
  <c r="R102" i="18"/>
  <c r="R91" i="18"/>
  <c r="R57" i="18"/>
  <c r="R54" i="18"/>
  <c r="L5" i="16"/>
  <c r="R44" i="18"/>
  <c r="E335" i="18"/>
  <c r="R34" i="18"/>
  <c r="K5" i="16"/>
  <c r="G5" i="15"/>
  <c r="H5" i="15"/>
  <c r="K5" i="15"/>
  <c r="L5" i="15" s="1"/>
  <c r="H233" i="18"/>
  <c r="I5" i="16"/>
  <c r="M362" i="18"/>
  <c r="M301" i="18"/>
  <c r="M261" i="18"/>
  <c r="M248" i="18"/>
  <c r="M226" i="18"/>
  <c r="M156" i="18"/>
  <c r="M117" i="18"/>
  <c r="E108" i="18"/>
  <c r="E86" i="18"/>
  <c r="H29" i="18"/>
  <c r="E97" i="18"/>
  <c r="E58" i="18"/>
  <c r="H25" i="18"/>
  <c r="E291" i="18"/>
  <c r="E93" i="18"/>
  <c r="E50" i="18"/>
  <c r="H21" i="18"/>
  <c r="E169" i="18"/>
  <c r="E105" i="18"/>
  <c r="E89" i="18"/>
  <c r="E95" i="18"/>
  <c r="M103" i="18"/>
  <c r="M100" i="18"/>
  <c r="M99" i="18"/>
  <c r="M98" i="18"/>
  <c r="M95" i="18"/>
  <c r="M94" i="18"/>
  <c r="M92" i="18"/>
  <c r="M91" i="18"/>
  <c r="M89" i="18"/>
  <c r="M88" i="18"/>
  <c r="M87" i="18"/>
  <c r="M86" i="18"/>
  <c r="M85" i="18"/>
  <c r="M84" i="18"/>
  <c r="M83" i="18"/>
  <c r="M82" i="18"/>
  <c r="M80" i="18"/>
  <c r="M79" i="18"/>
  <c r="M78" i="18"/>
  <c r="M77" i="18"/>
  <c r="H187" i="18"/>
  <c r="H45" i="18"/>
  <c r="H137" i="18"/>
  <c r="H303" i="18"/>
  <c r="H269" i="18"/>
  <c r="H241" i="18"/>
  <c r="H100" i="18"/>
  <c r="M75" i="18"/>
  <c r="M73" i="18"/>
  <c r="M72" i="18"/>
  <c r="M71" i="18"/>
  <c r="M70" i="18"/>
  <c r="M68" i="18"/>
  <c r="M66" i="18"/>
  <c r="M65" i="18"/>
  <c r="M64" i="18"/>
  <c r="M63" i="18"/>
  <c r="M61" i="18"/>
  <c r="M59" i="18"/>
  <c r="M58" i="18"/>
  <c r="M57" i="18"/>
  <c r="M56" i="18"/>
  <c r="H333" i="18"/>
  <c r="H305" i="18"/>
  <c r="H238" i="18"/>
  <c r="H244" i="18"/>
  <c r="H349" i="18"/>
  <c r="H262" i="18"/>
  <c r="H38" i="18"/>
  <c r="M55" i="18"/>
  <c r="M53" i="18"/>
  <c r="M52" i="18"/>
  <c r="M51" i="18"/>
  <c r="M50" i="18"/>
  <c r="M49" i="18"/>
  <c r="M48" i="18"/>
  <c r="M46" i="18"/>
  <c r="M45" i="18"/>
  <c r="M44" i="18"/>
  <c r="M42" i="18"/>
  <c r="M41" i="18"/>
  <c r="M40" i="18"/>
  <c r="M39" i="18"/>
  <c r="M38" i="18"/>
  <c r="M37" i="18"/>
  <c r="M36" i="18"/>
  <c r="M34" i="18"/>
  <c r="H226" i="18"/>
  <c r="H273" i="18"/>
  <c r="M32" i="18"/>
  <c r="M31" i="18"/>
  <c r="M30" i="18"/>
  <c r="M28" i="18"/>
  <c r="M27" i="18"/>
  <c r="M26" i="18"/>
  <c r="H88" i="18"/>
  <c r="M25" i="18"/>
  <c r="M23" i="18"/>
  <c r="M21" i="18"/>
  <c r="M20" i="18"/>
  <c r="M19" i="18"/>
  <c r="M18" i="18"/>
  <c r="M17" i="18"/>
  <c r="M16" i="18"/>
  <c r="L4" i="16"/>
  <c r="H202" i="18"/>
  <c r="H63" i="18"/>
  <c r="H311" i="18"/>
  <c r="M11" i="18"/>
  <c r="M10" i="18"/>
  <c r="M9" i="18"/>
  <c r="M8" i="18"/>
  <c r="M6" i="18"/>
  <c r="I4" i="16"/>
  <c r="J4" i="16" s="1"/>
  <c r="M5" i="18"/>
  <c r="M4" i="18"/>
  <c r="J4" i="15"/>
  <c r="K4" i="15"/>
  <c r="M3" i="18"/>
  <c r="G4" i="15"/>
  <c r="H4" i="15"/>
  <c r="M2" i="18"/>
  <c r="N2" i="18" s="1"/>
  <c r="H367" i="18"/>
  <c r="H366" i="18"/>
  <c r="H365" i="18"/>
  <c r="H364" i="18"/>
  <c r="H363" i="18"/>
  <c r="H361" i="18"/>
  <c r="E65" i="18"/>
  <c r="H325" i="18"/>
  <c r="H148" i="18"/>
  <c r="H302" i="18"/>
  <c r="H319" i="18"/>
  <c r="H151" i="18"/>
  <c r="E99" i="18"/>
  <c r="H207" i="18"/>
  <c r="E71" i="18"/>
  <c r="E56" i="18"/>
  <c r="H360" i="18"/>
  <c r="H33" i="18"/>
  <c r="E258" i="18"/>
  <c r="E359" i="18"/>
  <c r="E100" i="18"/>
  <c r="E70" i="18"/>
  <c r="H359" i="18"/>
  <c r="H355" i="18"/>
  <c r="H356" i="18"/>
  <c r="E126" i="18"/>
  <c r="E101" i="18"/>
  <c r="E84" i="18"/>
  <c r="E33" i="18"/>
  <c r="E53" i="18"/>
  <c r="H30" i="18"/>
  <c r="E80" i="18"/>
  <c r="E54" i="18"/>
  <c r="E94" i="18"/>
  <c r="E52" i="18"/>
  <c r="E106" i="18"/>
  <c r="H2" i="16"/>
  <c r="G2" i="15"/>
  <c r="E26" i="18"/>
  <c r="H354" i="18"/>
  <c r="I3" i="16"/>
  <c r="H3" i="15"/>
  <c r="I2" i="16"/>
  <c r="H3" i="16"/>
  <c r="H2" i="15"/>
  <c r="K2" i="16"/>
  <c r="J2" i="15"/>
  <c r="L3" i="16"/>
  <c r="K3" i="15"/>
  <c r="L3" i="15" s="1"/>
  <c r="G3" i="15"/>
  <c r="H19" i="18"/>
  <c r="L2" i="16"/>
  <c r="K3" i="16"/>
  <c r="K2" i="15"/>
  <c r="AF14" i="7" l="1"/>
  <c r="AG14" i="7" s="1"/>
  <c r="AF15" i="7"/>
  <c r="AG15" i="7" s="1"/>
  <c r="AE15" i="7"/>
  <c r="AE16" i="7"/>
  <c r="AF16" i="7"/>
  <c r="AG16" i="7" s="1"/>
  <c r="R352" i="18"/>
  <c r="AE14" i="7"/>
  <c r="AE12" i="7"/>
  <c r="R348" i="18"/>
  <c r="AE13" i="7"/>
  <c r="AF13" i="7"/>
  <c r="AG13" i="7" s="1"/>
  <c r="R349" i="18"/>
  <c r="AF12" i="7"/>
  <c r="AG12" i="7" s="1"/>
  <c r="AE6" i="7"/>
  <c r="AE11" i="7"/>
  <c r="AF11" i="7"/>
  <c r="AG11" i="7" s="1"/>
  <c r="AE10" i="7"/>
  <c r="AF10" i="7"/>
  <c r="AG10" i="7" s="1"/>
  <c r="AF9" i="7"/>
  <c r="AG9" i="7" s="1"/>
  <c r="AE9" i="7"/>
  <c r="AE7" i="7"/>
  <c r="AF7" i="7"/>
  <c r="AG7" i="7" s="1"/>
  <c r="AE8" i="7"/>
  <c r="AF8" i="7"/>
  <c r="AG8" i="7" s="1"/>
  <c r="AF6" i="7"/>
  <c r="AG6" i="7" s="1"/>
  <c r="AF5" i="7"/>
  <c r="AG5" i="7" s="1"/>
  <c r="AE5" i="7"/>
  <c r="AE4" i="7"/>
  <c r="AF4" i="7"/>
  <c r="AG4" i="7" s="1"/>
  <c r="R339" i="18"/>
  <c r="R337" i="18"/>
  <c r="J5" i="16"/>
  <c r="R335" i="18"/>
  <c r="R333" i="18"/>
  <c r="R331" i="18"/>
  <c r="R327" i="18"/>
  <c r="R325" i="18"/>
  <c r="R323" i="18"/>
  <c r="R321" i="18"/>
  <c r="R320" i="18"/>
  <c r="R319" i="18"/>
  <c r="R314" i="18"/>
  <c r="R311" i="18"/>
  <c r="R310" i="18"/>
  <c r="C12" i="23"/>
  <c r="R309" i="18"/>
  <c r="R308" i="18"/>
  <c r="R307" i="18"/>
  <c r="R304" i="18"/>
  <c r="R298" i="18"/>
  <c r="R302" i="18"/>
  <c r="B12" i="30"/>
  <c r="R301" i="18"/>
  <c r="R300" i="18"/>
  <c r="B6" i="30"/>
  <c r="R297" i="18"/>
  <c r="R293" i="18"/>
  <c r="R289" i="18"/>
  <c r="R288" i="18"/>
  <c r="R284" i="18"/>
  <c r="R287" i="18"/>
  <c r="R286" i="18"/>
  <c r="B3" i="30"/>
  <c r="B5" i="30"/>
  <c r="F11" i="27"/>
  <c r="B11" i="30"/>
  <c r="B4" i="30"/>
  <c r="R283" i="18"/>
  <c r="B2" i="30"/>
  <c r="B13" i="30"/>
  <c r="F8" i="27"/>
  <c r="B8" i="30"/>
  <c r="F7" i="27"/>
  <c r="B7" i="30"/>
  <c r="F10" i="27"/>
  <c r="B10" i="30"/>
  <c r="C2" i="30"/>
  <c r="R281" i="18"/>
  <c r="R280" i="18"/>
  <c r="R279" i="18"/>
  <c r="R277" i="18"/>
  <c r="R273" i="18"/>
  <c r="R272" i="18"/>
  <c r="R270" i="18"/>
  <c r="R269" i="18"/>
  <c r="R268" i="18"/>
  <c r="R258" i="18"/>
  <c r="R266" i="18"/>
  <c r="R265" i="18"/>
  <c r="R263" i="18"/>
  <c r="R262" i="18"/>
  <c r="R261" i="18"/>
  <c r="R260" i="18"/>
  <c r="R253" i="18"/>
  <c r="R252" i="18"/>
  <c r="R251" i="18"/>
  <c r="R246" i="18"/>
  <c r="R244" i="18"/>
  <c r="R243" i="18"/>
  <c r="R241" i="18"/>
  <c r="F6" i="27"/>
  <c r="R236" i="18"/>
  <c r="R238" i="18"/>
  <c r="F12" i="27"/>
  <c r="F2" i="27"/>
  <c r="F3" i="27"/>
  <c r="F5" i="27"/>
  <c r="F4" i="27"/>
  <c r="F13" i="27"/>
  <c r="R239" i="18"/>
  <c r="R237" i="18"/>
  <c r="R233" i="18"/>
  <c r="R232" i="18"/>
  <c r="R231" i="18"/>
  <c r="R230" i="18"/>
  <c r="R229" i="18"/>
  <c r="R228" i="18"/>
  <c r="R226" i="18"/>
  <c r="R222" i="18"/>
  <c r="R223" i="18"/>
  <c r="R219" i="18"/>
  <c r="R218" i="18"/>
  <c r="R216" i="18"/>
  <c r="R215" i="18"/>
  <c r="R212" i="18"/>
  <c r="R211" i="18"/>
  <c r="R206" i="18"/>
  <c r="R203" i="18"/>
  <c r="R208" i="18"/>
  <c r="R207" i="18"/>
  <c r="R201" i="18"/>
  <c r="AA2" i="7"/>
  <c r="AC1" i="7"/>
  <c r="R205" i="18"/>
  <c r="R202" i="18"/>
  <c r="R200" i="18"/>
  <c r="R199" i="18"/>
  <c r="R197" i="18"/>
  <c r="R193" i="18"/>
  <c r="R196" i="18"/>
  <c r="R195" i="18"/>
  <c r="R194" i="18"/>
  <c r="R192" i="18"/>
  <c r="R189" i="18"/>
  <c r="R191" i="18"/>
  <c r="R174" i="18"/>
  <c r="R181" i="18"/>
  <c r="R182" i="18"/>
  <c r="R183" i="18"/>
  <c r="R176" i="18"/>
  <c r="R178" i="18"/>
  <c r="R177" i="18"/>
  <c r="R175" i="18"/>
  <c r="R173" i="18"/>
  <c r="R171" i="18"/>
  <c r="R169" i="18"/>
  <c r="R168" i="18"/>
  <c r="R257" i="18"/>
  <c r="R165" i="18"/>
  <c r="R167" i="18"/>
  <c r="R166" i="18"/>
  <c r="R162" i="18"/>
  <c r="R164" i="18"/>
  <c r="R159" i="18"/>
  <c r="R158" i="18"/>
  <c r="R156" i="18"/>
  <c r="R152" i="18"/>
  <c r="R150" i="18"/>
  <c r="R153" i="18"/>
  <c r="R151" i="18"/>
  <c r="R148" i="18"/>
  <c r="R146" i="18"/>
  <c r="R147" i="18"/>
  <c r="R145" i="18"/>
  <c r="R144" i="18"/>
  <c r="R143" i="18"/>
  <c r="R137" i="18"/>
  <c r="R138" i="18"/>
  <c r="R139" i="18"/>
  <c r="R136" i="18"/>
  <c r="R135" i="18"/>
  <c r="R134" i="18"/>
  <c r="R118" i="18"/>
  <c r="R127" i="18"/>
  <c r="R133" i="18"/>
  <c r="R132" i="18"/>
  <c r="R130" i="18"/>
  <c r="R128" i="18"/>
  <c r="R126" i="18"/>
  <c r="R125" i="18"/>
  <c r="R124" i="18"/>
  <c r="R122" i="18"/>
  <c r="R121" i="18"/>
  <c r="R120" i="18"/>
  <c r="R119" i="18"/>
  <c r="R116" i="18"/>
  <c r="R117" i="18"/>
  <c r="R88" i="18"/>
  <c r="R115" i="18"/>
  <c r="R114" i="18"/>
  <c r="R112" i="18"/>
  <c r="R111" i="18"/>
  <c r="R98" i="18"/>
  <c r="R108" i="18"/>
  <c r="R107" i="18"/>
  <c r="R100" i="18"/>
  <c r="R101" i="18"/>
  <c r="R99" i="18"/>
  <c r="R97" i="18"/>
  <c r="R96" i="18"/>
  <c r="R95" i="18"/>
  <c r="C21" i="23"/>
  <c r="C2" i="24"/>
  <c r="C14" i="23"/>
  <c r="C10" i="23"/>
  <c r="B3" i="26"/>
  <c r="B5" i="26"/>
  <c r="B6" i="26"/>
  <c r="B7" i="26"/>
  <c r="B2" i="26"/>
  <c r="R81" i="18"/>
  <c r="R87" i="18"/>
  <c r="R94" i="18"/>
  <c r="B8" i="26"/>
  <c r="B4" i="26"/>
  <c r="R92" i="18"/>
  <c r="F2" i="25"/>
  <c r="R90" i="18"/>
  <c r="F3" i="25"/>
  <c r="R89" i="18"/>
  <c r="B3" i="24"/>
  <c r="B12" i="24"/>
  <c r="B5" i="24"/>
  <c r="B11" i="24"/>
  <c r="B4" i="24"/>
  <c r="R51" i="18"/>
  <c r="B6" i="24"/>
  <c r="B2" i="24"/>
  <c r="B13" i="24"/>
  <c r="B8" i="24"/>
  <c r="B7" i="24"/>
  <c r="B10" i="24"/>
  <c r="C11" i="23"/>
  <c r="C3" i="23"/>
  <c r="C16" i="23"/>
  <c r="C9" i="23"/>
  <c r="C32" i="23"/>
  <c r="C19" i="23"/>
  <c r="C13" i="23"/>
  <c r="C22" i="23"/>
  <c r="C4" i="23"/>
  <c r="R77" i="18"/>
  <c r="C7" i="23"/>
  <c r="C2" i="23"/>
  <c r="C26" i="23"/>
  <c r="C6" i="23"/>
  <c r="C23" i="23"/>
  <c r="C25" i="23"/>
  <c r="C15" i="23"/>
  <c r="C5" i="23"/>
  <c r="C29" i="23"/>
  <c r="C28" i="23"/>
  <c r="C17" i="23"/>
  <c r="C8" i="23"/>
  <c r="C30" i="23"/>
  <c r="C20" i="23"/>
  <c r="C27" i="23"/>
  <c r="R86" i="18"/>
  <c r="R85" i="18"/>
  <c r="R84" i="18"/>
  <c r="R83" i="18"/>
  <c r="R82" i="18"/>
  <c r="R80" i="18"/>
  <c r="R79" i="18"/>
  <c r="R78" i="18"/>
  <c r="R62" i="18"/>
  <c r="R67" i="18"/>
  <c r="R76" i="18"/>
  <c r="R75" i="18"/>
  <c r="R74" i="18"/>
  <c r="R73" i="18"/>
  <c r="R72" i="18"/>
  <c r="R71" i="18"/>
  <c r="R70" i="18"/>
  <c r="R69" i="18"/>
  <c r="R68" i="18"/>
  <c r="R63" i="18"/>
  <c r="R66" i="18"/>
  <c r="R65" i="18"/>
  <c r="R64" i="18"/>
  <c r="R61" i="18"/>
  <c r="R60" i="18"/>
  <c r="M5" i="16"/>
  <c r="R58" i="18"/>
  <c r="R59" i="18"/>
  <c r="R56" i="18"/>
  <c r="R55" i="18"/>
  <c r="R53" i="18"/>
  <c r="R52" i="18"/>
  <c r="R50" i="18"/>
  <c r="R49" i="18"/>
  <c r="R48" i="18"/>
  <c r="R47" i="18"/>
  <c r="R45" i="18"/>
  <c r="R46" i="18"/>
  <c r="R41" i="18"/>
  <c r="R42" i="18"/>
  <c r="R43" i="18"/>
  <c r="R27" i="18"/>
  <c r="R37" i="18"/>
  <c r="R31" i="18"/>
  <c r="R40" i="18"/>
  <c r="R39" i="18"/>
  <c r="R38" i="18"/>
  <c r="R36" i="18"/>
  <c r="R35" i="18"/>
  <c r="R33" i="18"/>
  <c r="R32" i="18"/>
  <c r="R30" i="18"/>
  <c r="R29" i="18"/>
  <c r="R28" i="18"/>
  <c r="R25" i="18"/>
  <c r="R26" i="18"/>
  <c r="R24" i="18"/>
  <c r="R23" i="18"/>
  <c r="R22" i="18"/>
  <c r="R21" i="18"/>
  <c r="R20" i="18"/>
  <c r="R19" i="18"/>
  <c r="R18" i="18"/>
  <c r="R17" i="18"/>
  <c r="R16" i="18"/>
  <c r="M352" i="18"/>
  <c r="R15" i="18"/>
  <c r="R14" i="18"/>
  <c r="R11" i="18"/>
  <c r="R13" i="18"/>
  <c r="M360" i="18"/>
  <c r="R12" i="18"/>
  <c r="R10" i="18"/>
  <c r="R9" i="18"/>
  <c r="R5" i="18"/>
  <c r="R8" i="18"/>
  <c r="R7" i="18"/>
  <c r="R6" i="18"/>
  <c r="I5" i="15"/>
  <c r="M5" i="15" s="1"/>
  <c r="M365" i="18"/>
  <c r="N365" i="18" s="1"/>
  <c r="R4" i="18"/>
  <c r="R3" i="18"/>
  <c r="M368" i="18"/>
  <c r="N368" i="18" s="1"/>
  <c r="M367" i="18"/>
  <c r="N367" i="18" s="1"/>
  <c r="M366" i="18"/>
  <c r="N366" i="18" s="1"/>
  <c r="AF1" i="7"/>
  <c r="AE1" i="7"/>
  <c r="AD1" i="7"/>
  <c r="AG1" i="7"/>
  <c r="R2" i="18"/>
  <c r="S351" i="18" s="1"/>
  <c r="M364" i="18"/>
  <c r="N364" i="18" s="1"/>
  <c r="M363" i="18"/>
  <c r="M361" i="18"/>
  <c r="M359" i="18"/>
  <c r="M358" i="18"/>
  <c r="M357" i="18"/>
  <c r="M356" i="18"/>
  <c r="M355" i="18"/>
  <c r="M354" i="18"/>
  <c r="M353" i="18"/>
  <c r="M351" i="18"/>
  <c r="M346" i="18"/>
  <c r="M350" i="18"/>
  <c r="M349" i="18"/>
  <c r="M348" i="18"/>
  <c r="M347" i="18"/>
  <c r="M345" i="18"/>
  <c r="M344" i="18"/>
  <c r="M343" i="18"/>
  <c r="M342" i="18"/>
  <c r="M341" i="18"/>
  <c r="M340" i="18"/>
  <c r="M339" i="18"/>
  <c r="M338" i="18"/>
  <c r="M309" i="18"/>
  <c r="M334" i="18"/>
  <c r="M337" i="18"/>
  <c r="M336" i="18"/>
  <c r="M335" i="18"/>
  <c r="M318" i="18"/>
  <c r="M330" i="18"/>
  <c r="M332" i="18"/>
  <c r="M331" i="18"/>
  <c r="M329" i="18"/>
  <c r="M327" i="18"/>
  <c r="M326" i="18"/>
  <c r="M325" i="18"/>
  <c r="M324" i="18"/>
  <c r="M323" i="18"/>
  <c r="M322" i="18"/>
  <c r="M321" i="18"/>
  <c r="M320" i="18"/>
  <c r="M319" i="18"/>
  <c r="M310" i="18"/>
  <c r="M317" i="18"/>
  <c r="M316" i="18"/>
  <c r="M314" i="18"/>
  <c r="M315" i="18"/>
  <c r="M313" i="18"/>
  <c r="M312" i="18"/>
  <c r="M307" i="18"/>
  <c r="M311" i="18"/>
  <c r="M305" i="18"/>
  <c r="M308" i="18"/>
  <c r="M299" i="18"/>
  <c r="M306" i="18"/>
  <c r="M304" i="18"/>
  <c r="M303" i="18"/>
  <c r="M295" i="18"/>
  <c r="M302" i="18"/>
  <c r="M245" i="18"/>
  <c r="M300" i="18"/>
  <c r="M296" i="18"/>
  <c r="M293" i="18"/>
  <c r="M294" i="18"/>
  <c r="M292" i="18"/>
  <c r="M291" i="18"/>
  <c r="M290" i="18"/>
  <c r="M289" i="18"/>
  <c r="M287" i="18"/>
  <c r="M288" i="18"/>
  <c r="M286" i="18"/>
  <c r="M285" i="18"/>
  <c r="M284" i="18"/>
  <c r="M283" i="18"/>
  <c r="M282" i="18"/>
  <c r="M281" i="18"/>
  <c r="M280" i="18"/>
  <c r="M279" i="18"/>
  <c r="M278" i="18"/>
  <c r="M277" i="18"/>
  <c r="M275" i="18"/>
  <c r="M276" i="18"/>
  <c r="M274" i="18"/>
  <c r="M273" i="18"/>
  <c r="M272" i="18"/>
  <c r="M271" i="18"/>
  <c r="M270" i="18"/>
  <c r="M269" i="18"/>
  <c r="M268" i="18"/>
  <c r="M267" i="18"/>
  <c r="M265" i="18"/>
  <c r="M266" i="18"/>
  <c r="M264" i="18"/>
  <c r="M263" i="18"/>
  <c r="M262" i="18"/>
  <c r="M247" i="18"/>
  <c r="M259" i="18"/>
  <c r="M258" i="18"/>
  <c r="M257" i="18"/>
  <c r="M256" i="18"/>
  <c r="M255" i="18"/>
  <c r="M253" i="18"/>
  <c r="M252" i="18"/>
  <c r="M251" i="18"/>
  <c r="M250" i="18"/>
  <c r="M249" i="18"/>
  <c r="M254" i="18"/>
  <c r="M246" i="18"/>
  <c r="M244" i="18"/>
  <c r="M243" i="18"/>
  <c r="M241" i="18"/>
  <c r="M240" i="18"/>
  <c r="M239" i="18"/>
  <c r="M238" i="18"/>
  <c r="M237" i="18"/>
  <c r="M236" i="18"/>
  <c r="M235" i="18"/>
  <c r="M234" i="18"/>
  <c r="M233" i="18"/>
  <c r="M232" i="18"/>
  <c r="M231" i="18"/>
  <c r="M230" i="18"/>
  <c r="M229" i="18"/>
  <c r="M228" i="18"/>
  <c r="M227" i="18"/>
  <c r="M225" i="18"/>
  <c r="M224" i="18"/>
  <c r="M223" i="18"/>
  <c r="M222" i="18"/>
  <c r="M220" i="18"/>
  <c r="M219" i="18"/>
  <c r="M218" i="18"/>
  <c r="M217" i="18"/>
  <c r="M202" i="18"/>
  <c r="M201" i="18"/>
  <c r="M200" i="18"/>
  <c r="M199" i="18"/>
  <c r="M198" i="18"/>
  <c r="M197" i="18"/>
  <c r="M196" i="18"/>
  <c r="M195" i="18"/>
  <c r="M194" i="18"/>
  <c r="M193" i="18"/>
  <c r="M192" i="18"/>
  <c r="M191" i="18"/>
  <c r="M190" i="18"/>
  <c r="M189" i="18"/>
  <c r="M188" i="18"/>
  <c r="M187" i="18"/>
  <c r="M185" i="18"/>
  <c r="M184" i="18"/>
  <c r="M183" i="18"/>
  <c r="M182" i="18"/>
  <c r="M181" i="18"/>
  <c r="M180" i="18"/>
  <c r="M179" i="18"/>
  <c r="M178" i="18"/>
  <c r="M177" i="18"/>
  <c r="M176" i="18"/>
  <c r="M175" i="18"/>
  <c r="M174" i="18"/>
  <c r="M173" i="18"/>
  <c r="M171" i="18"/>
  <c r="M170" i="18"/>
  <c r="M169" i="18"/>
  <c r="M168" i="18"/>
  <c r="M167" i="18"/>
  <c r="M166" i="18"/>
  <c r="M165" i="18"/>
  <c r="M164" i="18"/>
  <c r="M163" i="18"/>
  <c r="M162" i="18"/>
  <c r="M161" i="18"/>
  <c r="M157" i="18"/>
  <c r="M160" i="18"/>
  <c r="M159" i="18"/>
  <c r="M158" i="18"/>
  <c r="M155" i="18"/>
  <c r="M154" i="18"/>
  <c r="M153" i="18"/>
  <c r="M151" i="18"/>
  <c r="M152" i="18"/>
  <c r="M150" i="18"/>
  <c r="M149" i="18"/>
  <c r="M148" i="18"/>
  <c r="M147" i="18"/>
  <c r="M146" i="18"/>
  <c r="M145" i="18"/>
  <c r="M144" i="18"/>
  <c r="M143" i="18"/>
  <c r="M142" i="18"/>
  <c r="M141" i="18"/>
  <c r="M140" i="18"/>
  <c r="M139" i="18"/>
  <c r="M138" i="18"/>
  <c r="M137" i="18"/>
  <c r="M136" i="18"/>
  <c r="M135" i="18"/>
  <c r="M134" i="18"/>
  <c r="M133" i="18"/>
  <c r="M132" i="18"/>
  <c r="M131" i="18"/>
  <c r="M130" i="18"/>
  <c r="M129" i="18"/>
  <c r="M128" i="18"/>
  <c r="M127" i="18"/>
  <c r="M126" i="18"/>
  <c r="M125" i="18"/>
  <c r="M124" i="18"/>
  <c r="M123" i="18"/>
  <c r="M122" i="18"/>
  <c r="M121" i="18"/>
  <c r="M120" i="18"/>
  <c r="M119" i="18"/>
  <c r="M118" i="18"/>
  <c r="M116" i="18"/>
  <c r="M115" i="18"/>
  <c r="M114" i="18"/>
  <c r="M113" i="18"/>
  <c r="M112" i="18"/>
  <c r="M111" i="18"/>
  <c r="M110" i="18"/>
  <c r="M109" i="18"/>
  <c r="M108" i="18"/>
  <c r="M104" i="18"/>
  <c r="M107" i="18"/>
  <c r="M106" i="18"/>
  <c r="M105" i="18"/>
  <c r="H58" i="18"/>
  <c r="H185" i="18"/>
  <c r="H90" i="18"/>
  <c r="H275" i="18"/>
  <c r="H89" i="18"/>
  <c r="H326" i="18"/>
  <c r="H291" i="18"/>
  <c r="H71" i="18"/>
  <c r="H250" i="18"/>
  <c r="H74" i="18"/>
  <c r="H221" i="18"/>
  <c r="H310" i="18"/>
  <c r="H48" i="18"/>
  <c r="H281" i="18"/>
  <c r="H35" i="18"/>
  <c r="H242" i="18"/>
  <c r="E61" i="18"/>
  <c r="H350" i="18"/>
  <c r="E327" i="18"/>
  <c r="H368" i="18"/>
  <c r="H80" i="18"/>
  <c r="H194" i="18"/>
  <c r="H266" i="18"/>
  <c r="H335" i="18"/>
  <c r="H167" i="18"/>
  <c r="H299" i="18"/>
  <c r="H115" i="18"/>
  <c r="H91" i="18"/>
  <c r="H42" i="18"/>
  <c r="E73" i="18"/>
  <c r="H155" i="18"/>
  <c r="E69" i="18"/>
  <c r="H181" i="18"/>
  <c r="H119" i="18"/>
  <c r="H28" i="18"/>
  <c r="H169" i="18"/>
  <c r="H147" i="18"/>
  <c r="H177" i="18"/>
  <c r="E41" i="18"/>
  <c r="H113" i="18"/>
  <c r="H143" i="18"/>
  <c r="H324" i="18"/>
  <c r="H223" i="18"/>
  <c r="H287" i="18"/>
  <c r="H198" i="18"/>
  <c r="H222" i="18"/>
  <c r="E356" i="18"/>
  <c r="H188" i="18"/>
  <c r="H304" i="18"/>
  <c r="H286" i="18"/>
  <c r="H67" i="18"/>
  <c r="H320" i="18"/>
  <c r="H49" i="18"/>
  <c r="E357" i="18"/>
  <c r="E47" i="18"/>
  <c r="H150" i="18"/>
  <c r="E44" i="18"/>
  <c r="H81" i="18"/>
  <c r="E96" i="18"/>
  <c r="H197" i="18"/>
  <c r="E28" i="18"/>
  <c r="E31" i="18"/>
  <c r="E90" i="18"/>
  <c r="E35" i="18"/>
  <c r="H126" i="18"/>
  <c r="E75" i="18"/>
  <c r="H245" i="18"/>
  <c r="H331" i="18"/>
  <c r="H353" i="18"/>
  <c r="H348" i="18"/>
  <c r="E46" i="18"/>
  <c r="H78" i="18"/>
  <c r="H289" i="18"/>
  <c r="H247" i="18"/>
  <c r="H97" i="18"/>
  <c r="M60" i="18"/>
  <c r="M67" i="18"/>
  <c r="H253" i="18"/>
  <c r="H234" i="18"/>
  <c r="E117" i="18"/>
  <c r="M76" i="18"/>
  <c r="E363" i="18"/>
  <c r="H2" i="18"/>
  <c r="I25" i="18" s="1"/>
  <c r="K25" i="18" s="1"/>
  <c r="L25" i="18" s="1"/>
  <c r="H146" i="18"/>
  <c r="H339" i="18"/>
  <c r="H107" i="18"/>
  <c r="H344" i="18"/>
  <c r="H124" i="18"/>
  <c r="H92" i="18"/>
  <c r="H106" i="18"/>
  <c r="H95" i="18"/>
  <c r="H309" i="18"/>
  <c r="H108" i="18"/>
  <c r="H293" i="18"/>
  <c r="E87" i="18"/>
  <c r="H141" i="18"/>
  <c r="H240" i="18"/>
  <c r="H327" i="18"/>
  <c r="H134" i="18"/>
  <c r="H328" i="18"/>
  <c r="H138" i="18"/>
  <c r="H312" i="18"/>
  <c r="H72" i="18"/>
  <c r="E276" i="18"/>
  <c r="H156" i="18"/>
  <c r="H84" i="18"/>
  <c r="H256" i="18"/>
  <c r="H265" i="18"/>
  <c r="E104" i="18"/>
  <c r="H200" i="18"/>
  <c r="H284" i="18"/>
  <c r="H254" i="18"/>
  <c r="E27" i="18"/>
  <c r="H182" i="18"/>
  <c r="H172" i="18"/>
  <c r="H82" i="18"/>
  <c r="H27" i="18"/>
  <c r="H301" i="18"/>
  <c r="H277" i="18"/>
  <c r="H123" i="18"/>
  <c r="H255" i="18"/>
  <c r="H342" i="18"/>
  <c r="H135" i="18"/>
  <c r="H189" i="18"/>
  <c r="E49" i="18"/>
  <c r="E38" i="18"/>
  <c r="H340" i="18"/>
  <c r="H294" i="18"/>
  <c r="H321" i="18"/>
  <c r="H154" i="18"/>
  <c r="H122" i="18"/>
  <c r="H347" i="18"/>
  <c r="E344" i="18"/>
  <c r="H32" i="18"/>
  <c r="H31" i="18"/>
  <c r="M14" i="18"/>
  <c r="E102" i="18"/>
  <c r="E60" i="18"/>
  <c r="E74" i="18"/>
  <c r="E79" i="18"/>
  <c r="M33" i="18"/>
  <c r="E37" i="18"/>
  <c r="E66" i="18"/>
  <c r="E64" i="18"/>
  <c r="E59" i="18"/>
  <c r="E318" i="18"/>
  <c r="M90" i="18"/>
  <c r="H225" i="18"/>
  <c r="H103" i="18"/>
  <c r="H334" i="18"/>
  <c r="H125" i="18"/>
  <c r="H157" i="18"/>
  <c r="H298" i="18"/>
  <c r="H174" i="18"/>
  <c r="H237" i="18"/>
  <c r="H343" i="18"/>
  <c r="E29" i="18"/>
  <c r="E361" i="18"/>
  <c r="H175" i="18"/>
  <c r="H257" i="18"/>
  <c r="E51" i="18"/>
  <c r="H176" i="18"/>
  <c r="H206" i="18"/>
  <c r="H152" i="18"/>
  <c r="E57" i="18"/>
  <c r="H130" i="18"/>
  <c r="H55" i="18"/>
  <c r="H231" i="18"/>
  <c r="H300" i="18"/>
  <c r="H26" i="18"/>
  <c r="H272" i="18"/>
  <c r="H317" i="18"/>
  <c r="H315" i="18"/>
  <c r="H116" i="18"/>
  <c r="H75" i="18"/>
  <c r="H87" i="18"/>
  <c r="H337" i="18"/>
  <c r="E92" i="18"/>
  <c r="E36" i="18"/>
  <c r="E82" i="18"/>
  <c r="M7" i="18"/>
  <c r="H36" i="18"/>
  <c r="E91" i="18"/>
  <c r="E129" i="18"/>
  <c r="E98" i="18"/>
  <c r="H203" i="18"/>
  <c r="E2" i="18"/>
  <c r="F26" i="18" s="1"/>
  <c r="H235" i="18"/>
  <c r="H308" i="18"/>
  <c r="H297" i="18"/>
  <c r="H282" i="18"/>
  <c r="H204" i="18"/>
  <c r="H201" i="18"/>
  <c r="H173" i="18"/>
  <c r="H131" i="18"/>
  <c r="H105" i="18"/>
  <c r="H316" i="18"/>
  <c r="M15" i="18"/>
  <c r="M22" i="18"/>
  <c r="H159" i="18"/>
  <c r="M29" i="18"/>
  <c r="E68" i="18"/>
  <c r="H248" i="18"/>
  <c r="H283" i="18"/>
  <c r="H40" i="18"/>
  <c r="E30" i="18"/>
  <c r="H168" i="18"/>
  <c r="M54" i="18"/>
  <c r="H112" i="18"/>
  <c r="H246" i="18"/>
  <c r="E45" i="18"/>
  <c r="H129" i="18"/>
  <c r="H280" i="18"/>
  <c r="E42" i="18"/>
  <c r="H279" i="18"/>
  <c r="H164" i="18"/>
  <c r="E76" i="18"/>
  <c r="H259" i="18"/>
  <c r="E81" i="18"/>
  <c r="M69" i="18"/>
  <c r="E32" i="18"/>
  <c r="F32" i="18" s="1"/>
  <c r="M96" i="18"/>
  <c r="H296" i="18"/>
  <c r="H352" i="18"/>
  <c r="H270" i="18"/>
  <c r="H34" i="18"/>
  <c r="H158" i="18"/>
  <c r="H50" i="18"/>
  <c r="H191" i="18"/>
  <c r="H239" i="18"/>
  <c r="H161" i="18"/>
  <c r="H274" i="18"/>
  <c r="H193" i="18"/>
  <c r="H53" i="18"/>
  <c r="H192" i="18"/>
  <c r="H292" i="18"/>
  <c r="E88" i="18"/>
  <c r="H232" i="18"/>
  <c r="E40" i="18"/>
  <c r="H336" i="18"/>
  <c r="H227" i="18"/>
  <c r="H251" i="18"/>
  <c r="H180" i="18"/>
  <c r="H127" i="18"/>
  <c r="H249" i="18"/>
  <c r="H318" i="18"/>
  <c r="H99" i="18"/>
  <c r="H264" i="18"/>
  <c r="H41" i="18"/>
  <c r="E127" i="18"/>
  <c r="E309" i="18"/>
  <c r="H183" i="18"/>
  <c r="H117" i="18"/>
  <c r="H276" i="18"/>
  <c r="H268" i="18"/>
  <c r="H114" i="18"/>
  <c r="H44" i="18"/>
  <c r="E109" i="18"/>
  <c r="H101" i="18"/>
  <c r="H61" i="18"/>
  <c r="H109" i="18"/>
  <c r="E34" i="18"/>
  <c r="E63" i="18"/>
  <c r="H39" i="18"/>
  <c r="H76" i="18"/>
  <c r="H121" i="18"/>
  <c r="H252" i="18"/>
  <c r="H70" i="18"/>
  <c r="H323" i="18"/>
  <c r="E118" i="18"/>
  <c r="H47" i="18"/>
  <c r="H288" i="18"/>
  <c r="E48" i="18"/>
  <c r="H139" i="18"/>
  <c r="M12" i="18"/>
  <c r="H190" i="18"/>
  <c r="H79" i="18"/>
  <c r="E119" i="18"/>
  <c r="M13" i="18"/>
  <c r="E39" i="18"/>
  <c r="E77" i="18"/>
  <c r="H43" i="18"/>
  <c r="E43" i="18"/>
  <c r="M35" i="18"/>
  <c r="M43" i="18"/>
  <c r="M47" i="18"/>
  <c r="H104" i="18"/>
  <c r="H179" i="18"/>
  <c r="H263" i="18"/>
  <c r="H196" i="18"/>
  <c r="H314" i="18"/>
  <c r="E72" i="18"/>
  <c r="H313" i="18"/>
  <c r="E187" i="18"/>
  <c r="H205" i="18"/>
  <c r="H329" i="18"/>
  <c r="H57" i="18"/>
  <c r="H83" i="18"/>
  <c r="M74" i="18"/>
  <c r="H184" i="18"/>
  <c r="H338" i="18"/>
  <c r="E67" i="18"/>
  <c r="M81" i="18"/>
  <c r="H267" i="18"/>
  <c r="M97" i="18"/>
  <c r="M101" i="18"/>
  <c r="M4" i="16"/>
  <c r="I4" i="15"/>
  <c r="L4" i="15"/>
  <c r="M2" i="16"/>
  <c r="L2" i="15"/>
  <c r="I2" i="15"/>
  <c r="J2" i="16"/>
  <c r="I3" i="15"/>
  <c r="M3" i="15" s="1"/>
  <c r="J3" i="16"/>
  <c r="M3" i="16"/>
  <c r="N5" i="16" l="1"/>
  <c r="P5" i="16" s="1"/>
  <c r="Q5" i="16" s="1"/>
  <c r="S352" i="18"/>
  <c r="S348" i="18"/>
  <c r="S350" i="18"/>
  <c r="S349" i="18"/>
  <c r="S342" i="18"/>
  <c r="S347" i="18"/>
  <c r="S346" i="18"/>
  <c r="S345" i="18"/>
  <c r="S344" i="18"/>
  <c r="S343" i="18"/>
  <c r="S329" i="18"/>
  <c r="S341" i="18"/>
  <c r="S340" i="18"/>
  <c r="S339" i="18"/>
  <c r="S338" i="18"/>
  <c r="S337" i="18"/>
  <c r="S336" i="18"/>
  <c r="S335" i="18"/>
  <c r="S334" i="18"/>
  <c r="S333" i="18"/>
  <c r="T333" i="18" s="1"/>
  <c r="U333" i="18" s="1"/>
  <c r="S332" i="18"/>
  <c r="S331" i="18"/>
  <c r="S330" i="18"/>
  <c r="S326" i="18"/>
  <c r="S328" i="18"/>
  <c r="T328" i="18" s="1"/>
  <c r="U328" i="18" s="1"/>
  <c r="S327" i="18"/>
  <c r="S325" i="18"/>
  <c r="S313" i="18"/>
  <c r="S324" i="18"/>
  <c r="S323" i="18"/>
  <c r="S322" i="18"/>
  <c r="S321" i="18"/>
  <c r="S320" i="18"/>
  <c r="S319" i="18"/>
  <c r="S318" i="18"/>
  <c r="S316" i="18"/>
  <c r="S315" i="18"/>
  <c r="S314" i="18"/>
  <c r="S306" i="18"/>
  <c r="S312" i="18"/>
  <c r="S311" i="18"/>
  <c r="S310" i="18"/>
  <c r="S309" i="18"/>
  <c r="S308" i="18"/>
  <c r="S307" i="18"/>
  <c r="S292" i="18"/>
  <c r="S305" i="18"/>
  <c r="S304" i="18"/>
  <c r="S303" i="18"/>
  <c r="S302" i="18"/>
  <c r="S301" i="18"/>
  <c r="S300" i="18"/>
  <c r="S299" i="18"/>
  <c r="S298" i="18"/>
  <c r="T298" i="18" s="1"/>
  <c r="U298" i="18" s="1"/>
  <c r="S297" i="18"/>
  <c r="T297" i="18" s="1"/>
  <c r="U297" i="18" s="1"/>
  <c r="S296" i="18"/>
  <c r="S295" i="18"/>
  <c r="S294" i="18"/>
  <c r="S293" i="18"/>
  <c r="S284" i="18"/>
  <c r="S291" i="18"/>
  <c r="S290" i="18"/>
  <c r="S289" i="18"/>
  <c r="S288" i="18"/>
  <c r="S287" i="18"/>
  <c r="S286" i="18"/>
  <c r="S285" i="18"/>
  <c r="S283" i="18"/>
  <c r="S278" i="18"/>
  <c r="S282" i="18"/>
  <c r="S281" i="18"/>
  <c r="S280" i="18"/>
  <c r="S279" i="18"/>
  <c r="S277" i="18"/>
  <c r="S275" i="18"/>
  <c r="S276" i="18"/>
  <c r="S255" i="18"/>
  <c r="S274" i="18"/>
  <c r="S273" i="18"/>
  <c r="S272" i="18"/>
  <c r="S271" i="18"/>
  <c r="S270" i="18"/>
  <c r="S269" i="18"/>
  <c r="S268" i="18"/>
  <c r="S267" i="18"/>
  <c r="S266" i="18"/>
  <c r="S265" i="18"/>
  <c r="S264" i="18"/>
  <c r="S263" i="18"/>
  <c r="S262" i="18"/>
  <c r="S261" i="18"/>
  <c r="S260" i="18"/>
  <c r="T260" i="18" s="1"/>
  <c r="U260" i="18" s="1"/>
  <c r="S259" i="18"/>
  <c r="S258" i="18"/>
  <c r="S256" i="18"/>
  <c r="S247" i="18"/>
  <c r="S254" i="18"/>
  <c r="S253" i="18"/>
  <c r="S252" i="18"/>
  <c r="S251" i="18"/>
  <c r="S250" i="18"/>
  <c r="S249" i="18"/>
  <c r="S248" i="18"/>
  <c r="S246" i="18"/>
  <c r="S241" i="18"/>
  <c r="S245" i="18"/>
  <c r="S244" i="18"/>
  <c r="S243" i="18"/>
  <c r="S242" i="18"/>
  <c r="T242" i="18" s="1"/>
  <c r="U242" i="18" s="1"/>
  <c r="S235" i="18"/>
  <c r="S240" i="18"/>
  <c r="S239" i="18"/>
  <c r="S238" i="18"/>
  <c r="S237" i="18"/>
  <c r="S225" i="18"/>
  <c r="S234" i="18"/>
  <c r="S236" i="18"/>
  <c r="S233" i="18"/>
  <c r="S232" i="18"/>
  <c r="S231" i="18"/>
  <c r="S230" i="18"/>
  <c r="S229" i="18"/>
  <c r="S228" i="18"/>
  <c r="S227" i="18"/>
  <c r="S226" i="18"/>
  <c r="S213" i="18"/>
  <c r="T213" i="18" s="1"/>
  <c r="U213" i="18" s="1"/>
  <c r="S224" i="18"/>
  <c r="S223" i="18"/>
  <c r="S222" i="18"/>
  <c r="S221" i="18"/>
  <c r="T221" i="18" s="1"/>
  <c r="U221" i="18" s="1"/>
  <c r="S220" i="18"/>
  <c r="S219" i="18"/>
  <c r="S218" i="18"/>
  <c r="S217" i="18"/>
  <c r="S216" i="18"/>
  <c r="T216" i="18" s="1"/>
  <c r="U216" i="18" s="1"/>
  <c r="S215" i="18"/>
  <c r="T215" i="18" s="1"/>
  <c r="U215" i="18" s="1"/>
  <c r="S214" i="18"/>
  <c r="T214" i="18" s="1"/>
  <c r="U214" i="18" s="1"/>
  <c r="S212" i="18"/>
  <c r="T212" i="18" s="1"/>
  <c r="U212" i="18" s="1"/>
  <c r="S210" i="18"/>
  <c r="T210" i="18" s="1"/>
  <c r="U210" i="18" s="1"/>
  <c r="S211" i="18"/>
  <c r="T211" i="18" s="1"/>
  <c r="U211" i="18" s="1"/>
  <c r="S203" i="18"/>
  <c r="T203" i="18" s="1"/>
  <c r="U203" i="18" s="1"/>
  <c r="S209" i="18"/>
  <c r="T209" i="18" s="1"/>
  <c r="U209" i="18" s="1"/>
  <c r="S208" i="18"/>
  <c r="T208" i="18" s="1"/>
  <c r="U208" i="18" s="1"/>
  <c r="S207" i="18"/>
  <c r="T207" i="18" s="1"/>
  <c r="U207" i="18" s="1"/>
  <c r="U2" i="7"/>
  <c r="Y2" i="7"/>
  <c r="S206" i="18"/>
  <c r="T206" i="18" s="1"/>
  <c r="U206" i="18" s="1"/>
  <c r="S205" i="18"/>
  <c r="T205" i="18" s="1"/>
  <c r="U205" i="18" s="1"/>
  <c r="S204" i="18"/>
  <c r="T204" i="18" s="1"/>
  <c r="U204" i="18" s="1"/>
  <c r="S202" i="18"/>
  <c r="S193" i="18"/>
  <c r="S201" i="18"/>
  <c r="S200" i="18"/>
  <c r="S199" i="18"/>
  <c r="S198" i="18"/>
  <c r="S197" i="18"/>
  <c r="S196" i="18"/>
  <c r="S195" i="18"/>
  <c r="S194" i="18"/>
  <c r="S192" i="18"/>
  <c r="I156" i="18"/>
  <c r="K156" i="18" s="1"/>
  <c r="L156" i="18" s="1"/>
  <c r="I72" i="18"/>
  <c r="I138" i="18"/>
  <c r="K138" i="18" s="1"/>
  <c r="L138" i="18" s="1"/>
  <c r="S188" i="18"/>
  <c r="S190" i="18"/>
  <c r="S189" i="18"/>
  <c r="S191" i="18"/>
  <c r="S180" i="18"/>
  <c r="S187" i="18"/>
  <c r="S186" i="18"/>
  <c r="T186" i="18" s="1"/>
  <c r="U186" i="18" s="1"/>
  <c r="S185" i="18"/>
  <c r="S184" i="18"/>
  <c r="S183" i="18"/>
  <c r="S182" i="18"/>
  <c r="S181" i="18"/>
  <c r="S170" i="18"/>
  <c r="S179" i="18"/>
  <c r="S178" i="18"/>
  <c r="S177" i="18"/>
  <c r="S176" i="18"/>
  <c r="S175" i="18"/>
  <c r="S174" i="18"/>
  <c r="S173" i="18"/>
  <c r="S172" i="18"/>
  <c r="T172" i="18" s="1"/>
  <c r="U172" i="18" s="1"/>
  <c r="S171" i="18"/>
  <c r="S169" i="18"/>
  <c r="S168" i="18"/>
  <c r="S167" i="18"/>
  <c r="S157" i="18"/>
  <c r="S165" i="18"/>
  <c r="S166" i="18"/>
  <c r="S257" i="18"/>
  <c r="S164" i="18"/>
  <c r="S163" i="18"/>
  <c r="S162" i="18"/>
  <c r="S161" i="18"/>
  <c r="S160" i="18"/>
  <c r="S159" i="18"/>
  <c r="S158" i="18"/>
  <c r="S156" i="18"/>
  <c r="S106" i="18"/>
  <c r="S155" i="18"/>
  <c r="S154" i="18"/>
  <c r="S153" i="18"/>
  <c r="S152" i="18"/>
  <c r="S151" i="18"/>
  <c r="S150" i="18"/>
  <c r="S148" i="18"/>
  <c r="S147" i="18"/>
  <c r="S146" i="18"/>
  <c r="S145" i="18"/>
  <c r="S144" i="18"/>
  <c r="S143" i="18"/>
  <c r="S141" i="18"/>
  <c r="S140" i="18"/>
  <c r="S139" i="18"/>
  <c r="S138" i="18"/>
  <c r="S137" i="18"/>
  <c r="S136" i="18"/>
  <c r="S135" i="18"/>
  <c r="S134" i="18"/>
  <c r="S133" i="18"/>
  <c r="S132" i="18"/>
  <c r="S131" i="18"/>
  <c r="S130" i="18"/>
  <c r="S129" i="18"/>
  <c r="S128" i="18"/>
  <c r="S127" i="18"/>
  <c r="S126" i="18"/>
  <c r="S125" i="18"/>
  <c r="S124" i="18"/>
  <c r="S122" i="18"/>
  <c r="S121" i="18"/>
  <c r="S120" i="18"/>
  <c r="S119" i="18"/>
  <c r="S118" i="18"/>
  <c r="S117" i="18"/>
  <c r="S116" i="18"/>
  <c r="S115" i="18"/>
  <c r="S114" i="18"/>
  <c r="S113" i="18"/>
  <c r="S112" i="18"/>
  <c r="S111" i="18"/>
  <c r="S110" i="18"/>
  <c r="S109" i="18"/>
  <c r="S108" i="18"/>
  <c r="S107" i="18"/>
  <c r="S104" i="18"/>
  <c r="S105" i="18"/>
  <c r="S100" i="18"/>
  <c r="S103" i="18"/>
  <c r="S102" i="18"/>
  <c r="T102" i="18" s="1"/>
  <c r="U102" i="18" s="1"/>
  <c r="S101" i="18"/>
  <c r="S62" i="18"/>
  <c r="T62" i="18" s="1"/>
  <c r="U62" i="18" s="1"/>
  <c r="S99" i="18"/>
  <c r="S98" i="18"/>
  <c r="S97" i="18"/>
  <c r="S96" i="18"/>
  <c r="S95" i="18"/>
  <c r="S94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S65" i="18"/>
  <c r="S64" i="18"/>
  <c r="S63" i="18"/>
  <c r="S61" i="18"/>
  <c r="S60" i="18"/>
  <c r="S59" i="18"/>
  <c r="S58" i="18"/>
  <c r="S57" i="18"/>
  <c r="S56" i="18"/>
  <c r="S55" i="18"/>
  <c r="S45" i="18"/>
  <c r="S54" i="18"/>
  <c r="S53" i="18"/>
  <c r="S52" i="18"/>
  <c r="S51" i="18"/>
  <c r="S50" i="18"/>
  <c r="S49" i="18"/>
  <c r="S48" i="18"/>
  <c r="S47" i="18"/>
  <c r="S46" i="18"/>
  <c r="S37" i="18"/>
  <c r="S44" i="18"/>
  <c r="S43" i="18"/>
  <c r="T368" i="18"/>
  <c r="U368" i="18" s="1"/>
  <c r="T366" i="18"/>
  <c r="U366" i="18" s="1"/>
  <c r="T367" i="18"/>
  <c r="U367" i="18" s="1"/>
  <c r="T365" i="18"/>
  <c r="U365" i="18" s="1"/>
  <c r="T364" i="18"/>
  <c r="U364" i="18" s="1"/>
  <c r="S42" i="18"/>
  <c r="S41" i="18"/>
  <c r="S40" i="18"/>
  <c r="S39" i="18"/>
  <c r="S38" i="18"/>
  <c r="S36" i="18"/>
  <c r="S35" i="18"/>
  <c r="S2" i="18"/>
  <c r="T2" i="18" s="1"/>
  <c r="U2" i="18" s="1"/>
  <c r="S34" i="18"/>
  <c r="S33" i="18"/>
  <c r="S32" i="18"/>
  <c r="S31" i="18"/>
  <c r="S30" i="18"/>
  <c r="S29" i="18"/>
  <c r="S28" i="18"/>
  <c r="S27" i="18"/>
  <c r="S26" i="18"/>
  <c r="S25" i="18"/>
  <c r="S24" i="18"/>
  <c r="T24" i="18" s="1"/>
  <c r="U24" i="18" s="1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N5" i="15"/>
  <c r="O5" i="15"/>
  <c r="P5" i="15" s="1"/>
  <c r="S4" i="18"/>
  <c r="S3" i="18"/>
  <c r="O5" i="16"/>
  <c r="N261" i="18"/>
  <c r="N362" i="18"/>
  <c r="N363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2" i="18"/>
  <c r="N331" i="18"/>
  <c r="N330" i="18"/>
  <c r="N329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59" i="18"/>
  <c r="N258" i="18"/>
  <c r="N257" i="18"/>
  <c r="N256" i="18"/>
  <c r="N255" i="18"/>
  <c r="N253" i="18"/>
  <c r="N252" i="18"/>
  <c r="N251" i="18"/>
  <c r="N250" i="18"/>
  <c r="N249" i="18"/>
  <c r="N226" i="18"/>
  <c r="N248" i="18"/>
  <c r="N254" i="18"/>
  <c r="N247" i="18"/>
  <c r="N246" i="18"/>
  <c r="N245" i="18"/>
  <c r="N244" i="18"/>
  <c r="N243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5" i="18"/>
  <c r="N224" i="18"/>
  <c r="N223" i="18"/>
  <c r="N222" i="18"/>
  <c r="N220" i="18"/>
  <c r="N219" i="18"/>
  <c r="N218" i="18"/>
  <c r="N217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0" i="18"/>
  <c r="N171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1" i="18"/>
  <c r="N156" i="18"/>
  <c r="N157" i="18"/>
  <c r="N155" i="18"/>
  <c r="N154" i="18"/>
  <c r="N153" i="18"/>
  <c r="N152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I240" i="18"/>
  <c r="K240" i="18" s="1"/>
  <c r="L240" i="18" s="1"/>
  <c r="I95" i="18"/>
  <c r="I134" i="18"/>
  <c r="K134" i="18" s="1"/>
  <c r="L134" i="18" s="1"/>
  <c r="I108" i="18"/>
  <c r="I92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I259" i="18"/>
  <c r="K259" i="18" s="1"/>
  <c r="L259" i="18" s="1"/>
  <c r="I164" i="18"/>
  <c r="K164" i="18" s="1"/>
  <c r="L164" i="18" s="1"/>
  <c r="I129" i="18"/>
  <c r="I246" i="18"/>
  <c r="K246" i="18" s="1"/>
  <c r="L246" i="18" s="1"/>
  <c r="I283" i="18"/>
  <c r="K283" i="18" s="1"/>
  <c r="L283" i="18" s="1"/>
  <c r="I159" i="18"/>
  <c r="K159" i="18" s="1"/>
  <c r="L159" i="18" s="1"/>
  <c r="I105" i="18"/>
  <c r="I173" i="18"/>
  <c r="K173" i="18" s="1"/>
  <c r="L173" i="18" s="1"/>
  <c r="I204" i="18"/>
  <c r="I297" i="18"/>
  <c r="I235" i="18"/>
  <c r="K235" i="18" s="1"/>
  <c r="L235" i="18" s="1"/>
  <c r="I203" i="18"/>
  <c r="I36" i="18"/>
  <c r="I87" i="18"/>
  <c r="I116" i="18"/>
  <c r="K116" i="18" s="1"/>
  <c r="L116" i="18" s="1"/>
  <c r="I317" i="18"/>
  <c r="K317" i="18" s="1"/>
  <c r="L317" i="18" s="1"/>
  <c r="I26" i="18"/>
  <c r="K26" i="18" s="1"/>
  <c r="L26" i="18" s="1"/>
  <c r="I231" i="18"/>
  <c r="K231" i="18" s="1"/>
  <c r="L231" i="18" s="1"/>
  <c r="I130" i="18"/>
  <c r="K130" i="18" s="1"/>
  <c r="L130" i="18" s="1"/>
  <c r="I364" i="18"/>
  <c r="N107" i="18"/>
  <c r="I202" i="18"/>
  <c r="K202" i="18" s="1"/>
  <c r="L202" i="18" s="1"/>
  <c r="I365" i="18"/>
  <c r="I175" i="18"/>
  <c r="K175" i="18" s="1"/>
  <c r="L175" i="18" s="1"/>
  <c r="I125" i="18"/>
  <c r="K125" i="18" s="1"/>
  <c r="L125" i="18" s="1"/>
  <c r="I103" i="18"/>
  <c r="K103" i="18" s="1"/>
  <c r="L103" i="18" s="1"/>
  <c r="I338" i="18"/>
  <c r="I57" i="18"/>
  <c r="I205" i="18"/>
  <c r="I313" i="18"/>
  <c r="K313" i="18" s="1"/>
  <c r="L313" i="18" s="1"/>
  <c r="I314" i="18"/>
  <c r="K314" i="18" s="1"/>
  <c r="L314" i="18" s="1"/>
  <c r="I263" i="18"/>
  <c r="K263" i="18" s="1"/>
  <c r="L263" i="18" s="1"/>
  <c r="I104" i="18"/>
  <c r="F43" i="18"/>
  <c r="F77" i="18"/>
  <c r="I79" i="18"/>
  <c r="F309" i="18"/>
  <c r="I303" i="18"/>
  <c r="K303" i="18" s="1"/>
  <c r="L303" i="18" s="1"/>
  <c r="I302" i="18"/>
  <c r="K302" i="18" s="1"/>
  <c r="L302" i="18" s="1"/>
  <c r="I347" i="18"/>
  <c r="I154" i="18"/>
  <c r="K154" i="18" s="1"/>
  <c r="L154" i="18" s="1"/>
  <c r="I294" i="18"/>
  <c r="K294" i="18" s="1"/>
  <c r="L294" i="18" s="1"/>
  <c r="I189" i="18"/>
  <c r="K189" i="18" s="1"/>
  <c r="L189" i="18" s="1"/>
  <c r="I342" i="18"/>
  <c r="I123" i="18"/>
  <c r="K123" i="18" s="1"/>
  <c r="L123" i="18" s="1"/>
  <c r="I301" i="18"/>
  <c r="K301" i="18" s="1"/>
  <c r="L301" i="18" s="1"/>
  <c r="I82" i="18"/>
  <c r="I182" i="18"/>
  <c r="K182" i="18" s="1"/>
  <c r="L182" i="18" s="1"/>
  <c r="I254" i="18"/>
  <c r="K254" i="18" s="1"/>
  <c r="L254" i="18" s="1"/>
  <c r="I200" i="18"/>
  <c r="K200" i="18" s="1"/>
  <c r="L200" i="18" s="1"/>
  <c r="I265" i="18"/>
  <c r="K265" i="18" s="1"/>
  <c r="L265" i="18" s="1"/>
  <c r="I367" i="18"/>
  <c r="I29" i="18"/>
  <c r="I21" i="18"/>
  <c r="K21" i="18" s="1"/>
  <c r="L21" i="18" s="1"/>
  <c r="I269" i="18"/>
  <c r="K269" i="18" s="1"/>
  <c r="L269" i="18" s="1"/>
  <c r="I190" i="18"/>
  <c r="K190" i="18" s="1"/>
  <c r="L190" i="18" s="1"/>
  <c r="I139" i="18"/>
  <c r="K139" i="18" s="1"/>
  <c r="L139" i="18" s="1"/>
  <c r="I288" i="18"/>
  <c r="K288" i="18" s="1"/>
  <c r="L288" i="18" s="1"/>
  <c r="I70" i="18"/>
  <c r="I121" i="18"/>
  <c r="I39" i="18"/>
  <c r="I61" i="18"/>
  <c r="I114" i="18"/>
  <c r="K114" i="18" s="1"/>
  <c r="L114" i="18" s="1"/>
  <c r="I276" i="18"/>
  <c r="I161" i="18"/>
  <c r="K161" i="18" s="1"/>
  <c r="L161" i="18" s="1"/>
  <c r="I191" i="18"/>
  <c r="K191" i="18" s="1"/>
  <c r="L191" i="18" s="1"/>
  <c r="I355" i="18"/>
  <c r="I238" i="18"/>
  <c r="K238" i="18" s="1"/>
  <c r="L238" i="18" s="1"/>
  <c r="N106" i="18"/>
  <c r="F67" i="18"/>
  <c r="I183" i="18"/>
  <c r="K183" i="18" s="1"/>
  <c r="L183" i="18" s="1"/>
  <c r="I264" i="18"/>
  <c r="K264" i="18" s="1"/>
  <c r="L264" i="18" s="1"/>
  <c r="I318" i="18"/>
  <c r="I127" i="18"/>
  <c r="I227" i="18"/>
  <c r="K227" i="18" s="1"/>
  <c r="L227" i="18" s="1"/>
  <c r="I192" i="18"/>
  <c r="K192" i="18" s="1"/>
  <c r="L192" i="18" s="1"/>
  <c r="I193" i="18"/>
  <c r="K193" i="18" s="1"/>
  <c r="L193" i="18" s="1"/>
  <c r="I360" i="18"/>
  <c r="I34" i="18"/>
  <c r="I352" i="18"/>
  <c r="F50" i="18"/>
  <c r="I187" i="18"/>
  <c r="I100" i="18"/>
  <c r="I325" i="18"/>
  <c r="K325" i="18" s="1"/>
  <c r="L325" i="18" s="1"/>
  <c r="I343" i="18"/>
  <c r="I174" i="18"/>
  <c r="K174" i="18" s="1"/>
  <c r="L174" i="18" s="1"/>
  <c r="I157" i="18"/>
  <c r="K157" i="18" s="1"/>
  <c r="L157" i="18" s="1"/>
  <c r="I137" i="18"/>
  <c r="K137" i="18" s="1"/>
  <c r="L137" i="18" s="1"/>
  <c r="I333" i="18"/>
  <c r="I262" i="18"/>
  <c r="K262" i="18" s="1"/>
  <c r="L262" i="18" s="1"/>
  <c r="I311" i="18"/>
  <c r="K311" i="18" s="1"/>
  <c r="L311" i="18" s="1"/>
  <c r="I363" i="18"/>
  <c r="F30" i="18"/>
  <c r="F68" i="18"/>
  <c r="K68" i="18" s="1"/>
  <c r="L68" i="18" s="1"/>
  <c r="I267" i="18"/>
  <c r="K267" i="18" s="1"/>
  <c r="L267" i="18" s="1"/>
  <c r="I184" i="18"/>
  <c r="K184" i="18" s="1"/>
  <c r="L184" i="18" s="1"/>
  <c r="N70" i="18"/>
  <c r="I47" i="18"/>
  <c r="I323" i="18"/>
  <c r="K323" i="18" s="1"/>
  <c r="L323" i="18" s="1"/>
  <c r="I252" i="18"/>
  <c r="K252" i="18" s="1"/>
  <c r="L252" i="18" s="1"/>
  <c r="I76" i="18"/>
  <c r="I109" i="18"/>
  <c r="I101" i="18"/>
  <c r="I44" i="18"/>
  <c r="I268" i="18"/>
  <c r="K268" i="18" s="1"/>
  <c r="L268" i="18" s="1"/>
  <c r="I117" i="18"/>
  <c r="I41" i="18"/>
  <c r="I99" i="18"/>
  <c r="I249" i="18"/>
  <c r="K249" i="18" s="1"/>
  <c r="L249" i="18" s="1"/>
  <c r="I180" i="18"/>
  <c r="K180" i="18" s="1"/>
  <c r="L180" i="18" s="1"/>
  <c r="I251" i="18"/>
  <c r="K251" i="18" s="1"/>
  <c r="L251" i="18" s="1"/>
  <c r="I336" i="18"/>
  <c r="I232" i="18"/>
  <c r="K232" i="18" s="1"/>
  <c r="L232" i="18" s="1"/>
  <c r="I292" i="18"/>
  <c r="K292" i="18" s="1"/>
  <c r="L292" i="18" s="1"/>
  <c r="I53" i="18"/>
  <c r="I274" i="18"/>
  <c r="K274" i="18" s="1"/>
  <c r="L274" i="18" s="1"/>
  <c r="I158" i="18"/>
  <c r="K158" i="18" s="1"/>
  <c r="L158" i="18" s="1"/>
  <c r="I270" i="18"/>
  <c r="K270" i="18" s="1"/>
  <c r="L270" i="18" s="1"/>
  <c r="I296" i="18"/>
  <c r="K296" i="18" s="1"/>
  <c r="L296" i="18" s="1"/>
  <c r="I361" i="18"/>
  <c r="I148" i="18"/>
  <c r="K148" i="18" s="1"/>
  <c r="L148" i="18" s="1"/>
  <c r="I319" i="18"/>
  <c r="K319" i="18" s="1"/>
  <c r="L319" i="18" s="1"/>
  <c r="I207" i="18"/>
  <c r="I334" i="18"/>
  <c r="I225" i="18"/>
  <c r="K225" i="18" s="1"/>
  <c r="L225" i="18" s="1"/>
  <c r="N86" i="18"/>
  <c r="I241" i="18"/>
  <c r="K241" i="18" s="1"/>
  <c r="L241" i="18" s="1"/>
  <c r="I305" i="18"/>
  <c r="K305" i="18" s="1"/>
  <c r="L305" i="18" s="1"/>
  <c r="I244" i="18"/>
  <c r="K244" i="18" s="1"/>
  <c r="L244" i="18" s="1"/>
  <c r="I226" i="18"/>
  <c r="K226" i="18" s="1"/>
  <c r="L226" i="18" s="1"/>
  <c r="I88" i="18"/>
  <c r="I63" i="18"/>
  <c r="I122" i="18"/>
  <c r="K122" i="18" s="1"/>
  <c r="L122" i="18" s="1"/>
  <c r="I321" i="18"/>
  <c r="K321" i="18" s="1"/>
  <c r="L321" i="18" s="1"/>
  <c r="I340" i="18"/>
  <c r="I135" i="18"/>
  <c r="K135" i="18" s="1"/>
  <c r="L135" i="18" s="1"/>
  <c r="I255" i="18"/>
  <c r="K255" i="18" s="1"/>
  <c r="L255" i="18" s="1"/>
  <c r="I277" i="18"/>
  <c r="K277" i="18" s="1"/>
  <c r="L277" i="18" s="1"/>
  <c r="I27" i="18"/>
  <c r="I172" i="18"/>
  <c r="I284" i="18"/>
  <c r="K284" i="18" s="1"/>
  <c r="L284" i="18" s="1"/>
  <c r="I256" i="18"/>
  <c r="K256" i="18" s="1"/>
  <c r="L256" i="18" s="1"/>
  <c r="I84" i="18"/>
  <c r="I312" i="18"/>
  <c r="K312" i="18" s="1"/>
  <c r="L312" i="18" s="1"/>
  <c r="I328" i="18"/>
  <c r="I327" i="18"/>
  <c r="I141" i="18"/>
  <c r="K141" i="18" s="1"/>
  <c r="L141" i="18" s="1"/>
  <c r="I293" i="18"/>
  <c r="K293" i="18" s="1"/>
  <c r="L293" i="18" s="1"/>
  <c r="I309" i="18"/>
  <c r="K309" i="18" s="1"/>
  <c r="L309" i="18" s="1"/>
  <c r="I106" i="18"/>
  <c r="I124" i="18"/>
  <c r="K124" i="18" s="1"/>
  <c r="L124" i="18" s="1"/>
  <c r="I107" i="18"/>
  <c r="K107" i="18" s="1"/>
  <c r="L107" i="18" s="1"/>
  <c r="I30" i="18"/>
  <c r="I83" i="18"/>
  <c r="I329" i="18"/>
  <c r="I196" i="18"/>
  <c r="K196" i="18" s="1"/>
  <c r="L196" i="18" s="1"/>
  <c r="I179" i="18"/>
  <c r="K179" i="18" s="1"/>
  <c r="L179" i="18" s="1"/>
  <c r="I43" i="18"/>
  <c r="K43" i="18" s="1"/>
  <c r="L43" i="18" s="1"/>
  <c r="N17" i="18"/>
  <c r="I239" i="18"/>
  <c r="K239" i="18" s="1"/>
  <c r="L239" i="18" s="1"/>
  <c r="I50" i="18"/>
  <c r="K50" i="18" s="1"/>
  <c r="L50" i="18" s="1"/>
  <c r="I279" i="18"/>
  <c r="K279" i="18" s="1"/>
  <c r="L279" i="18" s="1"/>
  <c r="I280" i="18"/>
  <c r="K280" i="18" s="1"/>
  <c r="L280" i="18" s="1"/>
  <c r="I112" i="18"/>
  <c r="K112" i="18" s="1"/>
  <c r="L112" i="18" s="1"/>
  <c r="I168" i="18"/>
  <c r="K168" i="18" s="1"/>
  <c r="L168" i="18" s="1"/>
  <c r="I40" i="18"/>
  <c r="I248" i="18"/>
  <c r="K248" i="18" s="1"/>
  <c r="L248" i="18" s="1"/>
  <c r="I316" i="18"/>
  <c r="K316" i="18" s="1"/>
  <c r="L316" i="18" s="1"/>
  <c r="I131" i="18"/>
  <c r="K131" i="18" s="1"/>
  <c r="L131" i="18" s="1"/>
  <c r="I201" i="18"/>
  <c r="K201" i="18" s="1"/>
  <c r="L201" i="18" s="1"/>
  <c r="I282" i="18"/>
  <c r="K282" i="18" s="1"/>
  <c r="L282" i="18" s="1"/>
  <c r="I308" i="18"/>
  <c r="K308" i="18" s="1"/>
  <c r="L308" i="18" s="1"/>
  <c r="I337" i="18"/>
  <c r="I75" i="18"/>
  <c r="I315" i="18"/>
  <c r="K315" i="18" s="1"/>
  <c r="L315" i="18" s="1"/>
  <c r="I272" i="18"/>
  <c r="K272" i="18" s="1"/>
  <c r="L272" i="18" s="1"/>
  <c r="I300" i="18"/>
  <c r="K300" i="18" s="1"/>
  <c r="L300" i="18" s="1"/>
  <c r="I55" i="18"/>
  <c r="I152" i="18"/>
  <c r="K152" i="18" s="1"/>
  <c r="L152" i="18" s="1"/>
  <c r="I206" i="18"/>
  <c r="I176" i="18"/>
  <c r="K176" i="18" s="1"/>
  <c r="L176" i="18" s="1"/>
  <c r="I257" i="18"/>
  <c r="K257" i="18" s="1"/>
  <c r="L257" i="18" s="1"/>
  <c r="I151" i="18"/>
  <c r="K151" i="18" s="1"/>
  <c r="L151" i="18" s="1"/>
  <c r="I237" i="18"/>
  <c r="K237" i="18" s="1"/>
  <c r="L237" i="18" s="1"/>
  <c r="I298" i="18"/>
  <c r="I356" i="18"/>
  <c r="I45" i="18"/>
  <c r="I349" i="18"/>
  <c r="I38" i="18"/>
  <c r="I273" i="18"/>
  <c r="K273" i="18" s="1"/>
  <c r="L273" i="18" s="1"/>
  <c r="I31" i="18"/>
  <c r="I32" i="18"/>
  <c r="K32" i="18" s="1"/>
  <c r="L32" i="18" s="1"/>
  <c r="I354" i="18"/>
  <c r="I81" i="18"/>
  <c r="I150" i="18"/>
  <c r="K150" i="18" s="1"/>
  <c r="L150" i="18" s="1"/>
  <c r="N105" i="18"/>
  <c r="I146" i="18"/>
  <c r="K146" i="18" s="1"/>
  <c r="L146" i="18" s="1"/>
  <c r="I344" i="18"/>
  <c r="I339" i="18"/>
  <c r="I198" i="18"/>
  <c r="K198" i="18" s="1"/>
  <c r="L198" i="18" s="1"/>
  <c r="I223" i="18"/>
  <c r="K223" i="18" s="1"/>
  <c r="L223" i="18" s="1"/>
  <c r="I143" i="18"/>
  <c r="K143" i="18" s="1"/>
  <c r="L143" i="18" s="1"/>
  <c r="N30" i="18"/>
  <c r="N84" i="18"/>
  <c r="N3" i="18"/>
  <c r="N99" i="18"/>
  <c r="N98" i="18"/>
  <c r="I253" i="18"/>
  <c r="K253" i="18" s="1"/>
  <c r="L253" i="18" s="1"/>
  <c r="N25" i="18"/>
  <c r="N51" i="18"/>
  <c r="N9" i="18"/>
  <c r="N32" i="18"/>
  <c r="N82" i="18"/>
  <c r="N31" i="18"/>
  <c r="N104" i="18"/>
  <c r="N59" i="18"/>
  <c r="N96" i="18"/>
  <c r="N69" i="18"/>
  <c r="N26" i="18"/>
  <c r="N61" i="18"/>
  <c r="N40" i="18"/>
  <c r="I234" i="18"/>
  <c r="K234" i="18" s="1"/>
  <c r="L234" i="18" s="1"/>
  <c r="N67" i="18"/>
  <c r="N39" i="18"/>
  <c r="N101" i="18"/>
  <c r="N92" i="18"/>
  <c r="N81" i="18"/>
  <c r="N66" i="18"/>
  <c r="N47" i="18"/>
  <c r="N41" i="18"/>
  <c r="N13" i="18"/>
  <c r="N23" i="18"/>
  <c r="F118" i="18"/>
  <c r="K118" i="18" s="1"/>
  <c r="L118" i="18" s="1"/>
  <c r="F34" i="18"/>
  <c r="N8" i="18"/>
  <c r="F99" i="18"/>
  <c r="F106" i="18"/>
  <c r="N80" i="18"/>
  <c r="N58" i="18"/>
  <c r="N50" i="18"/>
  <c r="N19" i="18"/>
  <c r="N7" i="18"/>
  <c r="N5" i="18"/>
  <c r="N95" i="18"/>
  <c r="N83" i="18"/>
  <c r="N72" i="18"/>
  <c r="N57" i="18"/>
  <c r="N53" i="18"/>
  <c r="N37" i="18"/>
  <c r="N28" i="18"/>
  <c r="N14" i="18"/>
  <c r="N18" i="18"/>
  <c r="N94" i="18"/>
  <c r="N78" i="18"/>
  <c r="N52" i="18"/>
  <c r="N36" i="18"/>
  <c r="N27" i="18"/>
  <c r="N21" i="18"/>
  <c r="N11" i="18"/>
  <c r="N88" i="18"/>
  <c r="N74" i="18"/>
  <c r="N35" i="18"/>
  <c r="F39" i="18"/>
  <c r="F109" i="18"/>
  <c r="F127" i="18"/>
  <c r="F65" i="18"/>
  <c r="F53" i="18"/>
  <c r="F58" i="18"/>
  <c r="F105" i="18"/>
  <c r="N91" i="18"/>
  <c r="N65" i="18"/>
  <c r="N56" i="18"/>
  <c r="N46" i="18"/>
  <c r="N38" i="18"/>
  <c r="N29" i="18"/>
  <c r="N15" i="18"/>
  <c r="F129" i="18"/>
  <c r="F36" i="18"/>
  <c r="F57" i="18"/>
  <c r="N90" i="18"/>
  <c r="N79" i="18"/>
  <c r="N68" i="18"/>
  <c r="N49" i="18"/>
  <c r="N33" i="18"/>
  <c r="N16" i="18"/>
  <c r="N10" i="18"/>
  <c r="N89" i="18"/>
  <c r="N76" i="18"/>
  <c r="N75" i="18"/>
  <c r="N63" i="18"/>
  <c r="N48" i="18"/>
  <c r="N20" i="18"/>
  <c r="N6" i="18"/>
  <c r="F97" i="18"/>
  <c r="N97" i="18"/>
  <c r="N77" i="18"/>
  <c r="F187" i="18"/>
  <c r="F72" i="18"/>
  <c r="K72" i="18" s="1"/>
  <c r="L72" i="18" s="1"/>
  <c r="N55" i="18"/>
  <c r="N43" i="18"/>
  <c r="F119" i="18"/>
  <c r="N12" i="18"/>
  <c r="F48" i="18"/>
  <c r="F63" i="18"/>
  <c r="F40" i="18"/>
  <c r="F88" i="18"/>
  <c r="F291" i="18"/>
  <c r="N100" i="18"/>
  <c r="N87" i="18"/>
  <c r="N73" i="18"/>
  <c r="N54" i="18"/>
  <c r="N42" i="18"/>
  <c r="N34" i="18"/>
  <c r="N22" i="18"/>
  <c r="N64" i="18"/>
  <c r="N45" i="18"/>
  <c r="N103" i="18"/>
  <c r="N85" i="18"/>
  <c r="N71" i="18"/>
  <c r="N60" i="18"/>
  <c r="N44" i="18"/>
  <c r="N4" i="18"/>
  <c r="F108" i="18"/>
  <c r="F76" i="18"/>
  <c r="F45" i="18"/>
  <c r="F51" i="18"/>
  <c r="K51" i="18" s="1"/>
  <c r="L51" i="18" s="1"/>
  <c r="F29" i="18"/>
  <c r="F54" i="18"/>
  <c r="F95" i="18"/>
  <c r="F318" i="18"/>
  <c r="F37" i="18"/>
  <c r="F102" i="18"/>
  <c r="F87" i="18"/>
  <c r="F71" i="18"/>
  <c r="I247" i="18"/>
  <c r="K247" i="18" s="1"/>
  <c r="L247" i="18" s="1"/>
  <c r="I78" i="18"/>
  <c r="I348" i="18"/>
  <c r="I331" i="18"/>
  <c r="F75" i="18"/>
  <c r="F35" i="18"/>
  <c r="F31" i="18"/>
  <c r="I49" i="18"/>
  <c r="I67" i="18"/>
  <c r="I304" i="18"/>
  <c r="K304" i="18" s="1"/>
  <c r="L304" i="18" s="1"/>
  <c r="I119" i="18"/>
  <c r="K119" i="18" s="1"/>
  <c r="L119" i="18" s="1"/>
  <c r="F69" i="18"/>
  <c r="F73" i="18"/>
  <c r="I91" i="18"/>
  <c r="F327" i="18"/>
  <c r="F61" i="18"/>
  <c r="I35" i="18"/>
  <c r="I48" i="18"/>
  <c r="I221" i="18"/>
  <c r="I250" i="18"/>
  <c r="K250" i="18" s="1"/>
  <c r="L250" i="18" s="1"/>
  <c r="I291" i="18"/>
  <c r="F258" i="18"/>
  <c r="I185" i="18"/>
  <c r="K185" i="18" s="1"/>
  <c r="L185" i="18" s="1"/>
  <c r="I58" i="18"/>
  <c r="F59" i="18"/>
  <c r="K59" i="18" s="1"/>
  <c r="L59" i="18" s="1"/>
  <c r="F74" i="18"/>
  <c r="F344" i="18"/>
  <c r="F49" i="18"/>
  <c r="F100" i="18"/>
  <c r="F93" i="18"/>
  <c r="F117" i="18"/>
  <c r="F28" i="18"/>
  <c r="F356" i="18"/>
  <c r="F41" i="18"/>
  <c r="I147" i="18"/>
  <c r="K147" i="18" s="1"/>
  <c r="L147" i="18" s="1"/>
  <c r="I28" i="18"/>
  <c r="I299" i="18"/>
  <c r="K299" i="18" s="1"/>
  <c r="L299" i="18" s="1"/>
  <c r="I335" i="18"/>
  <c r="I194" i="18"/>
  <c r="K194" i="18" s="1"/>
  <c r="L194" i="18" s="1"/>
  <c r="I326" i="18"/>
  <c r="K326" i="18" s="1"/>
  <c r="L326" i="18" s="1"/>
  <c r="F70" i="18"/>
  <c r="I90" i="18"/>
  <c r="F81" i="18"/>
  <c r="F42" i="18"/>
  <c r="F82" i="18"/>
  <c r="F361" i="18"/>
  <c r="F359" i="18"/>
  <c r="F126" i="18"/>
  <c r="F66" i="18"/>
  <c r="F27" i="18"/>
  <c r="F104" i="18"/>
  <c r="F276" i="18"/>
  <c r="F101" i="18"/>
  <c r="F94" i="18"/>
  <c r="I2" i="18"/>
  <c r="I290" i="18"/>
  <c r="K290" i="18" s="1"/>
  <c r="L290" i="18" s="1"/>
  <c r="I170" i="18"/>
  <c r="K170" i="18" s="1"/>
  <c r="L170" i="18" s="1"/>
  <c r="I102" i="18"/>
  <c r="I54" i="18"/>
  <c r="I65" i="18"/>
  <c r="I98" i="18"/>
  <c r="I224" i="18"/>
  <c r="K224" i="18" s="1"/>
  <c r="L224" i="18" s="1"/>
  <c r="I163" i="18"/>
  <c r="K163" i="18" s="1"/>
  <c r="L163" i="18" s="1"/>
  <c r="I178" i="18"/>
  <c r="K178" i="18" s="1"/>
  <c r="L178" i="18" s="1"/>
  <c r="I110" i="18"/>
  <c r="K110" i="18" s="1"/>
  <c r="L110" i="18" s="1"/>
  <c r="I66" i="18"/>
  <c r="I171" i="18"/>
  <c r="K171" i="18" s="1"/>
  <c r="L171" i="18" s="1"/>
  <c r="I153" i="18"/>
  <c r="K153" i="18" s="1"/>
  <c r="L153" i="18" s="1"/>
  <c r="I85" i="18"/>
  <c r="I199" i="18"/>
  <c r="K199" i="18" s="1"/>
  <c r="L199" i="18" s="1"/>
  <c r="I166" i="18"/>
  <c r="K166" i="18" s="1"/>
  <c r="L166" i="18" s="1"/>
  <c r="I64" i="18"/>
  <c r="I330" i="18"/>
  <c r="I233" i="18"/>
  <c r="K233" i="18" s="1"/>
  <c r="L233" i="18" s="1"/>
  <c r="I94" i="18"/>
  <c r="I162" i="18"/>
  <c r="K162" i="18" s="1"/>
  <c r="L162" i="18" s="1"/>
  <c r="I93" i="18"/>
  <c r="I140" i="18"/>
  <c r="K140" i="18" s="1"/>
  <c r="L140" i="18" s="1"/>
  <c r="I86" i="18"/>
  <c r="I136" i="18"/>
  <c r="K136" i="18" s="1"/>
  <c r="L136" i="18" s="1"/>
  <c r="I69" i="18"/>
  <c r="I228" i="18"/>
  <c r="K228" i="18" s="1"/>
  <c r="L228" i="18" s="1"/>
  <c r="I332" i="18"/>
  <c r="I149" i="18"/>
  <c r="K149" i="18" s="1"/>
  <c r="L149" i="18" s="1"/>
  <c r="I295" i="18"/>
  <c r="K295" i="18" s="1"/>
  <c r="L295" i="18" s="1"/>
  <c r="I345" i="18"/>
  <c r="I22" i="18"/>
  <c r="K22" i="18" s="1"/>
  <c r="L22" i="18" s="1"/>
  <c r="I144" i="18"/>
  <c r="K144" i="18" s="1"/>
  <c r="L144" i="18" s="1"/>
  <c r="I77" i="18"/>
  <c r="K77" i="18" s="1"/>
  <c r="L77" i="18" s="1"/>
  <c r="I165" i="18"/>
  <c r="K165" i="18" s="1"/>
  <c r="L165" i="18" s="1"/>
  <c r="I73" i="18"/>
  <c r="I23" i="18"/>
  <c r="K23" i="18" s="1"/>
  <c r="L23" i="18" s="1"/>
  <c r="I285" i="18"/>
  <c r="K285" i="18" s="1"/>
  <c r="L285" i="18" s="1"/>
  <c r="I120" i="18"/>
  <c r="K120" i="18" s="1"/>
  <c r="L120" i="18" s="1"/>
  <c r="I142" i="18"/>
  <c r="K142" i="18" s="1"/>
  <c r="L142" i="18" s="1"/>
  <c r="I351" i="18"/>
  <c r="I133" i="18"/>
  <c r="K133" i="18" s="1"/>
  <c r="L133" i="18" s="1"/>
  <c r="I132" i="18"/>
  <c r="K132" i="18" s="1"/>
  <c r="L132" i="18" s="1"/>
  <c r="I261" i="18"/>
  <c r="K261" i="18" s="1"/>
  <c r="L261" i="18" s="1"/>
  <c r="I258" i="18"/>
  <c r="I195" i="18"/>
  <c r="K195" i="18" s="1"/>
  <c r="L195" i="18" s="1"/>
  <c r="I128" i="18"/>
  <c r="K128" i="18" s="1"/>
  <c r="L128" i="18" s="1"/>
  <c r="I37" i="18"/>
  <c r="I24" i="18"/>
  <c r="F169" i="18"/>
  <c r="I97" i="18"/>
  <c r="I289" i="18"/>
  <c r="K289" i="18" s="1"/>
  <c r="L289" i="18" s="1"/>
  <c r="F46" i="18"/>
  <c r="K46" i="18" s="1"/>
  <c r="L46" i="18" s="1"/>
  <c r="I353" i="18"/>
  <c r="I245" i="18"/>
  <c r="K245" i="18" s="1"/>
  <c r="L245" i="18" s="1"/>
  <c r="I126" i="18"/>
  <c r="F90" i="18"/>
  <c r="I320" i="18"/>
  <c r="K320" i="18" s="1"/>
  <c r="L320" i="18" s="1"/>
  <c r="I286" i="18"/>
  <c r="K286" i="18" s="1"/>
  <c r="L286" i="18" s="1"/>
  <c r="I181" i="18"/>
  <c r="K181" i="18" s="1"/>
  <c r="L181" i="18" s="1"/>
  <c r="I155" i="18"/>
  <c r="K155" i="18" s="1"/>
  <c r="L155" i="18" s="1"/>
  <c r="I42" i="18"/>
  <c r="I115" i="18"/>
  <c r="K115" i="18" s="1"/>
  <c r="L115" i="18" s="1"/>
  <c r="I368" i="18"/>
  <c r="I350" i="18"/>
  <c r="I242" i="18"/>
  <c r="I281" i="18"/>
  <c r="K281" i="18" s="1"/>
  <c r="L281" i="18" s="1"/>
  <c r="I310" i="18"/>
  <c r="K310" i="18" s="1"/>
  <c r="L310" i="18" s="1"/>
  <c r="I74" i="18"/>
  <c r="I71" i="18"/>
  <c r="F56" i="18"/>
  <c r="K56" i="18" s="1"/>
  <c r="L56" i="18" s="1"/>
  <c r="I359" i="18"/>
  <c r="F80" i="18"/>
  <c r="F2" i="18"/>
  <c r="F121" i="18"/>
  <c r="F78" i="18"/>
  <c r="F335" i="18"/>
  <c r="F83" i="18"/>
  <c r="F55" i="18"/>
  <c r="F113" i="18"/>
  <c r="F85" i="18"/>
  <c r="F98" i="18"/>
  <c r="F91" i="18"/>
  <c r="F92" i="18"/>
  <c r="F33" i="18"/>
  <c r="F86" i="18"/>
  <c r="F64" i="18"/>
  <c r="F79" i="18"/>
  <c r="F60" i="18"/>
  <c r="K60" i="18" s="1"/>
  <c r="L60" i="18" s="1"/>
  <c r="F38" i="18"/>
  <c r="F363" i="18"/>
  <c r="F89" i="18"/>
  <c r="I197" i="18"/>
  <c r="K197" i="18" s="1"/>
  <c r="L197" i="18" s="1"/>
  <c r="F96" i="18"/>
  <c r="K96" i="18" s="1"/>
  <c r="L96" i="18" s="1"/>
  <c r="F44" i="18"/>
  <c r="F47" i="18"/>
  <c r="F357" i="18"/>
  <c r="K357" i="18" s="1"/>
  <c r="L357" i="18" s="1"/>
  <c r="I188" i="18"/>
  <c r="K188" i="18" s="1"/>
  <c r="L188" i="18" s="1"/>
  <c r="I222" i="18"/>
  <c r="K222" i="18" s="1"/>
  <c r="L222" i="18" s="1"/>
  <c r="I287" i="18"/>
  <c r="K287" i="18" s="1"/>
  <c r="L287" i="18" s="1"/>
  <c r="I324" i="18"/>
  <c r="K324" i="18" s="1"/>
  <c r="L324" i="18" s="1"/>
  <c r="I113" i="18"/>
  <c r="I177" i="18"/>
  <c r="K177" i="18" s="1"/>
  <c r="L177" i="18" s="1"/>
  <c r="I169" i="18"/>
  <c r="I167" i="18"/>
  <c r="K167" i="18" s="1"/>
  <c r="L167" i="18" s="1"/>
  <c r="I266" i="18"/>
  <c r="K266" i="18" s="1"/>
  <c r="L266" i="18" s="1"/>
  <c r="I80" i="18"/>
  <c r="I366" i="18"/>
  <c r="I33" i="18"/>
  <c r="I89" i="18"/>
  <c r="I275" i="18"/>
  <c r="K275" i="18" s="1"/>
  <c r="L275" i="18" s="1"/>
  <c r="F84" i="18"/>
  <c r="F52" i="18"/>
  <c r="K52" i="18" s="1"/>
  <c r="L52" i="18" s="1"/>
  <c r="I19" i="18"/>
  <c r="K19" i="18" s="1"/>
  <c r="L19" i="18" s="1"/>
  <c r="N2" i="16"/>
  <c r="O2" i="16" s="1"/>
  <c r="N4" i="16"/>
  <c r="P4" i="16" s="1"/>
  <c r="Q4" i="16" s="1"/>
  <c r="R5" i="16" s="1"/>
  <c r="M4" i="15"/>
  <c r="N4" i="15" s="1"/>
  <c r="M2" i="15"/>
  <c r="O2" i="15" s="1"/>
  <c r="P2" i="15" s="1"/>
  <c r="Q2" i="15" s="1"/>
  <c r="N3" i="16"/>
  <c r="O3" i="16" s="1"/>
  <c r="N3" i="15"/>
  <c r="O3" i="15"/>
  <c r="P3" i="15" s="1"/>
  <c r="K30" i="18" l="1"/>
  <c r="L30" i="18" s="1"/>
  <c r="K65" i="18"/>
  <c r="L65" i="18" s="1"/>
  <c r="O2" i="18"/>
  <c r="P2" i="18" s="1"/>
  <c r="T44" i="18"/>
  <c r="U44" i="18" s="1"/>
  <c r="T103" i="18"/>
  <c r="U103" i="18" s="1"/>
  <c r="T87" i="18"/>
  <c r="U87" i="18" s="1"/>
  <c r="T75" i="18"/>
  <c r="U75" i="18" s="1"/>
  <c r="T79" i="18"/>
  <c r="U79" i="18" s="1"/>
  <c r="T74" i="18"/>
  <c r="U74" i="18" s="1"/>
  <c r="T94" i="18"/>
  <c r="U94" i="18" s="1"/>
  <c r="T37" i="18"/>
  <c r="U37" i="18" s="1"/>
  <c r="T83" i="18"/>
  <c r="U83" i="18" s="1"/>
  <c r="T47" i="18"/>
  <c r="U47" i="18" s="1"/>
  <c r="T101" i="18"/>
  <c r="U101" i="18" s="1"/>
  <c r="T40" i="18"/>
  <c r="U40" i="18" s="1"/>
  <c r="T82" i="18"/>
  <c r="U82" i="18" s="1"/>
  <c r="T70" i="18"/>
  <c r="U70" i="18" s="1"/>
  <c r="T106" i="18"/>
  <c r="U106" i="18" s="1"/>
  <c r="T107" i="18"/>
  <c r="U107" i="18" s="1"/>
  <c r="T115" i="18"/>
  <c r="U115" i="18" s="1"/>
  <c r="T119" i="18"/>
  <c r="U119" i="18" s="1"/>
  <c r="T126" i="18"/>
  <c r="U126" i="18" s="1"/>
  <c r="T130" i="18"/>
  <c r="U130" i="18" s="1"/>
  <c r="T134" i="18"/>
  <c r="U134" i="18" s="1"/>
  <c r="T142" i="18"/>
  <c r="U142" i="18" s="1"/>
  <c r="T146" i="18"/>
  <c r="U146" i="18" s="1"/>
  <c r="T150" i="18"/>
  <c r="U150" i="18" s="1"/>
  <c r="T155" i="18"/>
  <c r="U155" i="18" s="1"/>
  <c r="T158" i="18"/>
  <c r="U158" i="18" s="1"/>
  <c r="T162" i="18"/>
  <c r="U162" i="18" s="1"/>
  <c r="T166" i="18"/>
  <c r="U166" i="18" s="1"/>
  <c r="T171" i="18"/>
  <c r="U171" i="18" s="1"/>
  <c r="T175" i="18"/>
  <c r="U175" i="18" s="1"/>
  <c r="T179" i="18"/>
  <c r="U179" i="18" s="1"/>
  <c r="T183" i="18"/>
  <c r="U183" i="18" s="1"/>
  <c r="T188" i="18"/>
  <c r="U188" i="18" s="1"/>
  <c r="T192" i="18"/>
  <c r="U192" i="18" s="1"/>
  <c r="T196" i="18"/>
  <c r="U196" i="18" s="1"/>
  <c r="T200" i="18"/>
  <c r="U200" i="18" s="1"/>
  <c r="T223" i="18"/>
  <c r="U223" i="18" s="1"/>
  <c r="T228" i="18"/>
  <c r="U228" i="18" s="1"/>
  <c r="T232" i="18"/>
  <c r="U232" i="18" s="1"/>
  <c r="T240" i="18"/>
  <c r="U240" i="18" s="1"/>
  <c r="T245" i="18"/>
  <c r="U245" i="18" s="1"/>
  <c r="T248" i="18"/>
  <c r="U248" i="18" s="1"/>
  <c r="T251" i="18"/>
  <c r="U251" i="18" s="1"/>
  <c r="T256" i="18"/>
  <c r="U256" i="18" s="1"/>
  <c r="T262" i="18"/>
  <c r="U262" i="18" s="1"/>
  <c r="T266" i="18"/>
  <c r="U266" i="18" s="1"/>
  <c r="T270" i="18"/>
  <c r="U270" i="18" s="1"/>
  <c r="T274" i="18"/>
  <c r="U274" i="18" s="1"/>
  <c r="T282" i="18"/>
  <c r="U282" i="18" s="1"/>
  <c r="T286" i="18"/>
  <c r="U286" i="18" s="1"/>
  <c r="T290" i="18"/>
  <c r="U290" i="18" s="1"/>
  <c r="T294" i="18"/>
  <c r="U294" i="18" s="1"/>
  <c r="T300" i="18"/>
  <c r="U300" i="18" s="1"/>
  <c r="T304" i="18"/>
  <c r="U304" i="18" s="1"/>
  <c r="T308" i="18"/>
  <c r="U308" i="18" s="1"/>
  <c r="T312" i="18"/>
  <c r="U312" i="18" s="1"/>
  <c r="T316" i="18"/>
  <c r="U316" i="18" s="1"/>
  <c r="T320" i="18"/>
  <c r="U320" i="18" s="1"/>
  <c r="T324" i="18"/>
  <c r="U324" i="18" s="1"/>
  <c r="T329" i="18"/>
  <c r="U329" i="18" s="1"/>
  <c r="T334" i="18"/>
  <c r="U334" i="18" s="1"/>
  <c r="T338" i="18"/>
  <c r="U338" i="18" s="1"/>
  <c r="T342" i="18"/>
  <c r="U342" i="18" s="1"/>
  <c r="T350" i="18"/>
  <c r="U350" i="18" s="1"/>
  <c r="T354" i="18"/>
  <c r="U354" i="18" s="1"/>
  <c r="T363" i="18"/>
  <c r="U363" i="18" s="1"/>
  <c r="T45" i="18"/>
  <c r="U45" i="18" s="1"/>
  <c r="T42" i="18"/>
  <c r="U42" i="18" s="1"/>
  <c r="T100" i="18"/>
  <c r="U100" i="18" s="1"/>
  <c r="T43" i="18"/>
  <c r="U43" i="18" s="1"/>
  <c r="T77" i="18"/>
  <c r="U77" i="18" s="1"/>
  <c r="T76" i="18"/>
  <c r="U76" i="18" s="1"/>
  <c r="T90" i="18"/>
  <c r="U90" i="18" s="1"/>
  <c r="T88" i="18"/>
  <c r="U88" i="18" s="1"/>
  <c r="T36" i="18"/>
  <c r="U36" i="18" s="1"/>
  <c r="T53" i="18"/>
  <c r="U53" i="18" s="1"/>
  <c r="T95" i="18"/>
  <c r="U95" i="18" s="1"/>
  <c r="T50" i="18"/>
  <c r="U50" i="18" s="1"/>
  <c r="T66" i="18"/>
  <c r="U66" i="18" s="1"/>
  <c r="T61" i="18"/>
  <c r="U61" i="18" s="1"/>
  <c r="T84" i="18"/>
  <c r="U84" i="18" s="1"/>
  <c r="T105" i="18"/>
  <c r="U105" i="18" s="1"/>
  <c r="T108" i="18"/>
  <c r="U108" i="18" s="1"/>
  <c r="T112" i="18"/>
  <c r="U112" i="18" s="1"/>
  <c r="T116" i="18"/>
  <c r="U116" i="18" s="1"/>
  <c r="T120" i="18"/>
  <c r="U120" i="18" s="1"/>
  <c r="T123" i="18"/>
  <c r="U123" i="18" s="1"/>
  <c r="T127" i="18"/>
  <c r="U127" i="18" s="1"/>
  <c r="T131" i="18"/>
  <c r="U131" i="18" s="1"/>
  <c r="T135" i="18"/>
  <c r="U135" i="18" s="1"/>
  <c r="T139" i="18"/>
  <c r="U139" i="18" s="1"/>
  <c r="T143" i="18"/>
  <c r="U143" i="18" s="1"/>
  <c r="T147" i="18"/>
  <c r="U147" i="18" s="1"/>
  <c r="T152" i="18"/>
  <c r="U152" i="18" s="1"/>
  <c r="T157" i="18"/>
  <c r="U157" i="18" s="1"/>
  <c r="T159" i="18"/>
  <c r="U159" i="18" s="1"/>
  <c r="T163" i="18"/>
  <c r="U163" i="18" s="1"/>
  <c r="T167" i="18"/>
  <c r="U167" i="18" s="1"/>
  <c r="T170" i="18"/>
  <c r="U170" i="18" s="1"/>
  <c r="T176" i="18"/>
  <c r="U176" i="18" s="1"/>
  <c r="T180" i="18"/>
  <c r="U180" i="18" s="1"/>
  <c r="T184" i="18"/>
  <c r="U184" i="18" s="1"/>
  <c r="T189" i="18"/>
  <c r="U189" i="18" s="1"/>
  <c r="T193" i="18"/>
  <c r="U193" i="18" s="1"/>
  <c r="T197" i="18"/>
  <c r="U197" i="18" s="1"/>
  <c r="T201" i="18"/>
  <c r="U201" i="18" s="1"/>
  <c r="T224" i="18"/>
  <c r="U224" i="18" s="1"/>
  <c r="T233" i="18"/>
  <c r="U233" i="18" s="1"/>
  <c r="T237" i="18"/>
  <c r="U237" i="18" s="1"/>
  <c r="T241" i="18"/>
  <c r="U241" i="18" s="1"/>
  <c r="T246" i="18"/>
  <c r="U246" i="18" s="1"/>
  <c r="T226" i="18"/>
  <c r="U226" i="18" s="1"/>
  <c r="T252" i="18"/>
  <c r="U252" i="18" s="1"/>
  <c r="T257" i="18"/>
  <c r="U257" i="18" s="1"/>
  <c r="T263" i="18"/>
  <c r="U263" i="18" s="1"/>
  <c r="T267" i="18"/>
  <c r="U267" i="18" s="1"/>
  <c r="T275" i="18"/>
  <c r="U275" i="18" s="1"/>
  <c r="T279" i="18"/>
  <c r="U279" i="18" s="1"/>
  <c r="T283" i="18"/>
  <c r="U283" i="18" s="1"/>
  <c r="T287" i="18"/>
  <c r="U287" i="18" s="1"/>
  <c r="T291" i="18"/>
  <c r="U291" i="18" s="1"/>
  <c r="T295" i="18"/>
  <c r="U295" i="18" s="1"/>
  <c r="T301" i="18"/>
  <c r="U301" i="18" s="1"/>
  <c r="T305" i="18"/>
  <c r="U305" i="18" s="1"/>
  <c r="T309" i="18"/>
  <c r="U309" i="18" s="1"/>
  <c r="T313" i="18"/>
  <c r="U313" i="18" s="1"/>
  <c r="T317" i="18"/>
  <c r="U317" i="18" s="1"/>
  <c r="T321" i="18"/>
  <c r="U321" i="18" s="1"/>
  <c r="T325" i="18"/>
  <c r="U325" i="18" s="1"/>
  <c r="T330" i="18"/>
  <c r="U330" i="18" s="1"/>
  <c r="T335" i="18"/>
  <c r="U335" i="18" s="1"/>
  <c r="T339" i="18"/>
  <c r="U339" i="18" s="1"/>
  <c r="T343" i="18"/>
  <c r="U343" i="18" s="1"/>
  <c r="T347" i="18"/>
  <c r="U347" i="18" s="1"/>
  <c r="T351" i="18"/>
  <c r="U351" i="18" s="1"/>
  <c r="T355" i="18"/>
  <c r="U355" i="18" s="1"/>
  <c r="T359" i="18"/>
  <c r="U359" i="18" s="1"/>
  <c r="T71" i="18"/>
  <c r="U71" i="18" s="1"/>
  <c r="T64" i="18"/>
  <c r="U64" i="18" s="1"/>
  <c r="T54" i="18"/>
  <c r="U54" i="18" s="1"/>
  <c r="T55" i="18"/>
  <c r="U55" i="18" s="1"/>
  <c r="T97" i="18"/>
  <c r="U97" i="18" s="1"/>
  <c r="T48" i="18"/>
  <c r="U48" i="18" s="1"/>
  <c r="T89" i="18"/>
  <c r="U89" i="18" s="1"/>
  <c r="T49" i="18"/>
  <c r="U49" i="18" s="1"/>
  <c r="T65" i="18"/>
  <c r="U65" i="18" s="1"/>
  <c r="T57" i="18"/>
  <c r="U57" i="18" s="1"/>
  <c r="T58" i="18"/>
  <c r="U58" i="18" s="1"/>
  <c r="T81" i="18"/>
  <c r="U81" i="18" s="1"/>
  <c r="T67" i="18"/>
  <c r="U67" i="18" s="1"/>
  <c r="T104" i="18"/>
  <c r="U104" i="18" s="1"/>
  <c r="T98" i="18"/>
  <c r="U98" i="18" s="1"/>
  <c r="T109" i="18"/>
  <c r="U109" i="18" s="1"/>
  <c r="T113" i="18"/>
  <c r="U113" i="18" s="1"/>
  <c r="T117" i="18"/>
  <c r="U117" i="18" s="1"/>
  <c r="T121" i="18"/>
  <c r="U121" i="18" s="1"/>
  <c r="T124" i="18"/>
  <c r="U124" i="18" s="1"/>
  <c r="T128" i="18"/>
  <c r="U128" i="18" s="1"/>
  <c r="T132" i="18"/>
  <c r="U132" i="18" s="1"/>
  <c r="T136" i="18"/>
  <c r="U136" i="18" s="1"/>
  <c r="T140" i="18"/>
  <c r="U140" i="18" s="1"/>
  <c r="T144" i="18"/>
  <c r="U144" i="18" s="1"/>
  <c r="T148" i="18"/>
  <c r="U148" i="18" s="1"/>
  <c r="T153" i="18"/>
  <c r="U153" i="18" s="1"/>
  <c r="T164" i="18"/>
  <c r="U164" i="18" s="1"/>
  <c r="T168" i="18"/>
  <c r="U168" i="18" s="1"/>
  <c r="T173" i="18"/>
  <c r="U173" i="18" s="1"/>
  <c r="T177" i="18"/>
  <c r="U177" i="18" s="1"/>
  <c r="T181" i="18"/>
  <c r="U181" i="18" s="1"/>
  <c r="T185" i="18"/>
  <c r="U185" i="18" s="1"/>
  <c r="T190" i="18"/>
  <c r="U190" i="18" s="1"/>
  <c r="T194" i="18"/>
  <c r="U194" i="18" s="1"/>
  <c r="T198" i="18"/>
  <c r="U198" i="18" s="1"/>
  <c r="T202" i="18"/>
  <c r="U202" i="18" s="1"/>
  <c r="T225" i="18"/>
  <c r="U225" i="18" s="1"/>
  <c r="T234" i="18"/>
  <c r="U234" i="18" s="1"/>
  <c r="T238" i="18"/>
  <c r="U238" i="18" s="1"/>
  <c r="T247" i="18"/>
  <c r="U247" i="18" s="1"/>
  <c r="T249" i="18"/>
  <c r="U249" i="18" s="1"/>
  <c r="T253" i="18"/>
  <c r="U253" i="18" s="1"/>
  <c r="T258" i="18"/>
  <c r="U258" i="18" s="1"/>
  <c r="T264" i="18"/>
  <c r="U264" i="18" s="1"/>
  <c r="T268" i="18"/>
  <c r="U268" i="18" s="1"/>
  <c r="T272" i="18"/>
  <c r="U272" i="18" s="1"/>
  <c r="T276" i="18"/>
  <c r="U276" i="18" s="1"/>
  <c r="T280" i="18"/>
  <c r="U280" i="18" s="1"/>
  <c r="T284" i="18"/>
  <c r="U284" i="18" s="1"/>
  <c r="T288" i="18"/>
  <c r="U288" i="18" s="1"/>
  <c r="T292" i="18"/>
  <c r="U292" i="18" s="1"/>
  <c r="T296" i="18"/>
  <c r="U296" i="18" s="1"/>
  <c r="T302" i="18"/>
  <c r="U302" i="18" s="1"/>
  <c r="T310" i="18"/>
  <c r="U310" i="18" s="1"/>
  <c r="T314" i="18"/>
  <c r="U314" i="18" s="1"/>
  <c r="T318" i="18"/>
  <c r="U318" i="18" s="1"/>
  <c r="T326" i="18"/>
  <c r="U326" i="18" s="1"/>
  <c r="T331" i="18"/>
  <c r="U331" i="18" s="1"/>
  <c r="T336" i="18"/>
  <c r="U336" i="18" s="1"/>
  <c r="T340" i="18"/>
  <c r="U340" i="18" s="1"/>
  <c r="T344" i="18"/>
  <c r="U344" i="18" s="1"/>
  <c r="T348" i="18"/>
  <c r="U348" i="18" s="1"/>
  <c r="T352" i="18"/>
  <c r="U352" i="18" s="1"/>
  <c r="T356" i="18"/>
  <c r="U356" i="18" s="1"/>
  <c r="T360" i="18"/>
  <c r="U360" i="18" s="1"/>
  <c r="T261" i="18"/>
  <c r="U261" i="18" s="1"/>
  <c r="T85" i="18"/>
  <c r="U85" i="18" s="1"/>
  <c r="T73" i="18"/>
  <c r="U73" i="18" s="1"/>
  <c r="T63" i="18"/>
  <c r="U63" i="18" s="1"/>
  <c r="T91" i="18"/>
  <c r="U91" i="18" s="1"/>
  <c r="T35" i="18"/>
  <c r="U35" i="18" s="1"/>
  <c r="T78" i="18"/>
  <c r="U78" i="18" s="1"/>
  <c r="T28" i="18"/>
  <c r="U28" i="18" s="1"/>
  <c r="T80" i="18"/>
  <c r="U80" i="18" s="1"/>
  <c r="T41" i="18"/>
  <c r="U41" i="18" s="1"/>
  <c r="T92" i="18"/>
  <c r="U92" i="18" s="1"/>
  <c r="T69" i="18"/>
  <c r="U69" i="18" s="1"/>
  <c r="T99" i="18"/>
  <c r="U99" i="18" s="1"/>
  <c r="T86" i="18"/>
  <c r="U86" i="18" s="1"/>
  <c r="T110" i="18"/>
  <c r="U110" i="18" s="1"/>
  <c r="T114" i="18"/>
  <c r="U114" i="18" s="1"/>
  <c r="T122" i="18"/>
  <c r="U122" i="18" s="1"/>
  <c r="T125" i="18"/>
  <c r="U125" i="18" s="1"/>
  <c r="T129" i="18"/>
  <c r="U129" i="18" s="1"/>
  <c r="T133" i="18"/>
  <c r="U133" i="18" s="1"/>
  <c r="T137" i="18"/>
  <c r="U137" i="18" s="1"/>
  <c r="T141" i="18"/>
  <c r="U141" i="18" s="1"/>
  <c r="T149" i="18"/>
  <c r="U149" i="18" s="1"/>
  <c r="T154" i="18"/>
  <c r="U154" i="18" s="1"/>
  <c r="T151" i="18"/>
  <c r="U151" i="18" s="1"/>
  <c r="T161" i="18"/>
  <c r="U161" i="18" s="1"/>
  <c r="T165" i="18"/>
  <c r="U165" i="18" s="1"/>
  <c r="T169" i="18"/>
  <c r="U169" i="18" s="1"/>
  <c r="T174" i="18"/>
  <c r="U174" i="18" s="1"/>
  <c r="T178" i="18"/>
  <c r="U178" i="18" s="1"/>
  <c r="T182" i="18"/>
  <c r="U182" i="18" s="1"/>
  <c r="T187" i="18"/>
  <c r="U187" i="18" s="1"/>
  <c r="T191" i="18"/>
  <c r="U191" i="18" s="1"/>
  <c r="T195" i="18"/>
  <c r="U195" i="18" s="1"/>
  <c r="T199" i="18"/>
  <c r="U199" i="18" s="1"/>
  <c r="T222" i="18"/>
  <c r="U222" i="18" s="1"/>
  <c r="T227" i="18"/>
  <c r="U227" i="18" s="1"/>
  <c r="T231" i="18"/>
  <c r="U231" i="18" s="1"/>
  <c r="T235" i="18"/>
  <c r="U235" i="18" s="1"/>
  <c r="T239" i="18"/>
  <c r="U239" i="18" s="1"/>
  <c r="T244" i="18"/>
  <c r="U244" i="18" s="1"/>
  <c r="T254" i="18"/>
  <c r="U254" i="18" s="1"/>
  <c r="T250" i="18"/>
  <c r="U250" i="18" s="1"/>
  <c r="T255" i="18"/>
  <c r="U255" i="18" s="1"/>
  <c r="T259" i="18"/>
  <c r="U259" i="18" s="1"/>
  <c r="T265" i="18"/>
  <c r="U265" i="18" s="1"/>
  <c r="T269" i="18"/>
  <c r="U269" i="18" s="1"/>
  <c r="T273" i="18"/>
  <c r="U273" i="18" s="1"/>
  <c r="T277" i="18"/>
  <c r="U277" i="18" s="1"/>
  <c r="T281" i="18"/>
  <c r="U281" i="18" s="1"/>
  <c r="T285" i="18"/>
  <c r="U285" i="18" s="1"/>
  <c r="T289" i="18"/>
  <c r="U289" i="18" s="1"/>
  <c r="T293" i="18"/>
  <c r="U293" i="18" s="1"/>
  <c r="T299" i="18"/>
  <c r="U299" i="18" s="1"/>
  <c r="T303" i="18"/>
  <c r="U303" i="18" s="1"/>
  <c r="T311" i="18"/>
  <c r="U311" i="18" s="1"/>
  <c r="T315" i="18"/>
  <c r="U315" i="18" s="1"/>
  <c r="T319" i="18"/>
  <c r="U319" i="18" s="1"/>
  <c r="T323" i="18"/>
  <c r="U323" i="18" s="1"/>
  <c r="T327" i="18"/>
  <c r="U327" i="18" s="1"/>
  <c r="T332" i="18"/>
  <c r="U332" i="18" s="1"/>
  <c r="T337" i="18"/>
  <c r="U337" i="18" s="1"/>
  <c r="T345" i="18"/>
  <c r="U345" i="18" s="1"/>
  <c r="T349" i="18"/>
  <c r="U349" i="18" s="1"/>
  <c r="T353" i="18"/>
  <c r="U353" i="18" s="1"/>
  <c r="T361" i="18"/>
  <c r="U361" i="18" s="1"/>
  <c r="T39" i="18"/>
  <c r="U39" i="18" s="1"/>
  <c r="T38" i="18"/>
  <c r="U38" i="18" s="1"/>
  <c r="K33" i="18"/>
  <c r="L33" i="18" s="1"/>
  <c r="T31" i="18"/>
  <c r="U31" i="18" s="1"/>
  <c r="T34" i="18"/>
  <c r="U34" i="18" s="1"/>
  <c r="T33" i="18"/>
  <c r="U33" i="18" s="1"/>
  <c r="K28" i="18"/>
  <c r="L28" i="18" s="1"/>
  <c r="T30" i="18"/>
  <c r="U30" i="18" s="1"/>
  <c r="T29" i="18"/>
  <c r="U29" i="18" s="1"/>
  <c r="T27" i="18"/>
  <c r="U27" i="18" s="1"/>
  <c r="T26" i="18"/>
  <c r="U26" i="18" s="1"/>
  <c r="T23" i="18"/>
  <c r="U23" i="18" s="1"/>
  <c r="T22" i="18"/>
  <c r="U22" i="18" s="1"/>
  <c r="T19" i="18"/>
  <c r="U19" i="18" s="1"/>
  <c r="K291" i="18"/>
  <c r="L291" i="18" s="1"/>
  <c r="O363" i="18"/>
  <c r="P363" i="18" s="1"/>
  <c r="O344" i="18"/>
  <c r="P344" i="18" s="1"/>
  <c r="O356" i="18"/>
  <c r="P356" i="18" s="1"/>
  <c r="O4" i="18"/>
  <c r="P4" i="18" s="1"/>
  <c r="T4" i="18"/>
  <c r="U4" i="18" s="1"/>
  <c r="O12" i="18"/>
  <c r="P12" i="18" s="1"/>
  <c r="T12" i="18"/>
  <c r="U12" i="18" s="1"/>
  <c r="O10" i="18"/>
  <c r="P10" i="18" s="1"/>
  <c r="T10" i="18"/>
  <c r="U10" i="18" s="1"/>
  <c r="O68" i="18"/>
  <c r="P68" i="18" s="1"/>
  <c r="T68" i="18"/>
  <c r="U68" i="18" s="1"/>
  <c r="O21" i="18"/>
  <c r="P21" i="18" s="1"/>
  <c r="T21" i="18"/>
  <c r="U21" i="18" s="1"/>
  <c r="O72" i="18"/>
  <c r="P72" i="18" s="1"/>
  <c r="T72" i="18"/>
  <c r="U72" i="18" s="1"/>
  <c r="O7" i="18"/>
  <c r="P7" i="18" s="1"/>
  <c r="T7" i="18"/>
  <c r="U7" i="18" s="1"/>
  <c r="O51" i="18"/>
  <c r="P51" i="18" s="1"/>
  <c r="T51" i="18"/>
  <c r="U51" i="18" s="1"/>
  <c r="O118" i="18"/>
  <c r="P118" i="18" s="1"/>
  <c r="T118" i="18"/>
  <c r="U118" i="18" s="1"/>
  <c r="O145" i="18"/>
  <c r="P145" i="18" s="1"/>
  <c r="T145" i="18"/>
  <c r="U145" i="18" s="1"/>
  <c r="O217" i="18"/>
  <c r="P217" i="18" s="1"/>
  <c r="T217" i="18"/>
  <c r="U217" i="18" s="1"/>
  <c r="O307" i="18"/>
  <c r="P307" i="18" s="1"/>
  <c r="T307" i="18"/>
  <c r="U307" i="18" s="1"/>
  <c r="O341" i="18"/>
  <c r="P341" i="18" s="1"/>
  <c r="T341" i="18"/>
  <c r="U341" i="18" s="1"/>
  <c r="O357" i="18"/>
  <c r="P357" i="18" s="1"/>
  <c r="T357" i="18"/>
  <c r="U357" i="18" s="1"/>
  <c r="O6" i="18"/>
  <c r="P6" i="18" s="1"/>
  <c r="T6" i="18"/>
  <c r="U6" i="18" s="1"/>
  <c r="O16" i="18"/>
  <c r="P16" i="18" s="1"/>
  <c r="T16" i="18"/>
  <c r="U16" i="18" s="1"/>
  <c r="O46" i="18"/>
  <c r="P46" i="18" s="1"/>
  <c r="T46" i="18"/>
  <c r="U46" i="18" s="1"/>
  <c r="O96" i="18"/>
  <c r="P96" i="18" s="1"/>
  <c r="T96" i="18"/>
  <c r="U96" i="18" s="1"/>
  <c r="O25" i="18"/>
  <c r="P25" i="18" s="1"/>
  <c r="T25" i="18"/>
  <c r="U25" i="18" s="1"/>
  <c r="O3" i="18"/>
  <c r="P3" i="18" s="1"/>
  <c r="T3" i="18"/>
  <c r="U3" i="18" s="1"/>
  <c r="O111" i="18"/>
  <c r="P111" i="18" s="1"/>
  <c r="T111" i="18"/>
  <c r="U111" i="18" s="1"/>
  <c r="O138" i="18"/>
  <c r="P138" i="18" s="1"/>
  <c r="T138" i="18"/>
  <c r="U138" i="18" s="1"/>
  <c r="O218" i="18"/>
  <c r="P218" i="18" s="1"/>
  <c r="T218" i="18"/>
  <c r="U218" i="18" s="1"/>
  <c r="O236" i="18"/>
  <c r="P236" i="18" s="1"/>
  <c r="T236" i="18"/>
  <c r="U236" i="18" s="1"/>
  <c r="O278" i="18"/>
  <c r="P278" i="18" s="1"/>
  <c r="T278" i="18"/>
  <c r="U278" i="18" s="1"/>
  <c r="O346" i="18"/>
  <c r="P346" i="18" s="1"/>
  <c r="T346" i="18"/>
  <c r="U346" i="18" s="1"/>
  <c r="O358" i="18"/>
  <c r="P358" i="18" s="1"/>
  <c r="T358" i="18"/>
  <c r="U358" i="18" s="1"/>
  <c r="O60" i="18"/>
  <c r="P60" i="18" s="1"/>
  <c r="T60" i="18"/>
  <c r="U60" i="18" s="1"/>
  <c r="O20" i="18"/>
  <c r="P20" i="18" s="1"/>
  <c r="T20" i="18"/>
  <c r="U20" i="18" s="1"/>
  <c r="O15" i="18"/>
  <c r="P15" i="18" s="1"/>
  <c r="T15" i="18"/>
  <c r="U15" i="18" s="1"/>
  <c r="O56" i="18"/>
  <c r="P56" i="18" s="1"/>
  <c r="T56" i="18"/>
  <c r="U56" i="18" s="1"/>
  <c r="O18" i="18"/>
  <c r="P18" i="18" s="1"/>
  <c r="T18" i="18"/>
  <c r="U18" i="18" s="1"/>
  <c r="O59" i="18"/>
  <c r="P59" i="18" s="1"/>
  <c r="T59" i="18"/>
  <c r="U59" i="18" s="1"/>
  <c r="O32" i="18"/>
  <c r="P32" i="18" s="1"/>
  <c r="T32" i="18"/>
  <c r="U32" i="18" s="1"/>
  <c r="O219" i="18"/>
  <c r="P219" i="18" s="1"/>
  <c r="T219" i="18"/>
  <c r="U219" i="18" s="1"/>
  <c r="O229" i="18"/>
  <c r="P229" i="18" s="1"/>
  <c r="T229" i="18"/>
  <c r="U229" i="18" s="1"/>
  <c r="O271" i="18"/>
  <c r="P271" i="18" s="1"/>
  <c r="T271" i="18"/>
  <c r="U271" i="18" s="1"/>
  <c r="O362" i="18"/>
  <c r="P362" i="18" s="1"/>
  <c r="T362" i="18"/>
  <c r="U362" i="18" s="1"/>
  <c r="O11" i="18"/>
  <c r="P11" i="18" s="1"/>
  <c r="T11" i="18"/>
  <c r="U11" i="18" s="1"/>
  <c r="O52" i="18"/>
  <c r="P52" i="18" s="1"/>
  <c r="T52" i="18"/>
  <c r="U52" i="18" s="1"/>
  <c r="O14" i="18"/>
  <c r="P14" i="18" s="1"/>
  <c r="T14" i="18"/>
  <c r="U14" i="18" s="1"/>
  <c r="O5" i="18"/>
  <c r="P5" i="18" s="1"/>
  <c r="T5" i="18"/>
  <c r="U5" i="18" s="1"/>
  <c r="O8" i="18"/>
  <c r="P8" i="18" s="1"/>
  <c r="T8" i="18"/>
  <c r="U8" i="18" s="1"/>
  <c r="O13" i="18"/>
  <c r="P13" i="18" s="1"/>
  <c r="T13" i="18"/>
  <c r="U13" i="18" s="1"/>
  <c r="O9" i="18"/>
  <c r="P9" i="18" s="1"/>
  <c r="T9" i="18"/>
  <c r="U9" i="18" s="1"/>
  <c r="O17" i="18"/>
  <c r="P17" i="18" s="1"/>
  <c r="T17" i="18"/>
  <c r="U17" i="18" s="1"/>
  <c r="O156" i="18"/>
  <c r="P156" i="18" s="1"/>
  <c r="T156" i="18"/>
  <c r="U156" i="18" s="1"/>
  <c r="O160" i="18"/>
  <c r="P160" i="18" s="1"/>
  <c r="T160" i="18"/>
  <c r="U160" i="18" s="1"/>
  <c r="O220" i="18"/>
  <c r="P220" i="18" s="1"/>
  <c r="T220" i="18"/>
  <c r="U220" i="18" s="1"/>
  <c r="O230" i="18"/>
  <c r="P230" i="18" s="1"/>
  <c r="T230" i="18"/>
  <c r="U230" i="18" s="1"/>
  <c r="O243" i="18"/>
  <c r="P243" i="18" s="1"/>
  <c r="T243" i="18"/>
  <c r="U243" i="18" s="1"/>
  <c r="O306" i="18"/>
  <c r="P306" i="18" s="1"/>
  <c r="T306" i="18"/>
  <c r="U306" i="18" s="1"/>
  <c r="O322" i="18"/>
  <c r="P322" i="18" s="1"/>
  <c r="T322" i="18"/>
  <c r="U322" i="18" s="1"/>
  <c r="O361" i="18"/>
  <c r="P361" i="18" s="1"/>
  <c r="O335" i="18"/>
  <c r="P335" i="18" s="1"/>
  <c r="O36" i="18"/>
  <c r="P36" i="18" s="1"/>
  <c r="O95" i="18"/>
  <c r="P95" i="18" s="1"/>
  <c r="O26" i="18"/>
  <c r="P26" i="18" s="1"/>
  <c r="O29" i="18"/>
  <c r="P29" i="18" s="1"/>
  <c r="O104" i="18"/>
  <c r="P104" i="18" s="1"/>
  <c r="O30" i="18"/>
  <c r="P30" i="18" s="1"/>
  <c r="O103" i="18"/>
  <c r="P103" i="18" s="1"/>
  <c r="O87" i="18"/>
  <c r="P87" i="18" s="1"/>
  <c r="O61" i="18"/>
  <c r="P61" i="18" s="1"/>
  <c r="K97" i="18"/>
  <c r="L97" i="18" s="1"/>
  <c r="O43" i="18"/>
  <c r="P43" i="18" s="1"/>
  <c r="O38" i="18"/>
  <c r="P38" i="18" s="1"/>
  <c r="O41" i="18"/>
  <c r="P41" i="18" s="1"/>
  <c r="O31" i="18"/>
  <c r="P31" i="18" s="1"/>
  <c r="K73" i="18"/>
  <c r="L73" i="18" s="1"/>
  <c r="O34" i="18"/>
  <c r="P34" i="18" s="1"/>
  <c r="O70" i="18"/>
  <c r="P70" i="18" s="1"/>
  <c r="K169" i="18"/>
  <c r="L169" i="18" s="1"/>
  <c r="K37" i="18"/>
  <c r="L37" i="18" s="1"/>
  <c r="O27" i="18"/>
  <c r="P27" i="18" s="1"/>
  <c r="O101" i="18"/>
  <c r="P101" i="18" s="1"/>
  <c r="O82" i="18"/>
  <c r="P82" i="18" s="1"/>
  <c r="K66" i="18"/>
  <c r="L66" i="18" s="1"/>
  <c r="K48" i="18"/>
  <c r="L48" i="18" s="1"/>
  <c r="O45" i="18"/>
  <c r="P45" i="18" s="1"/>
  <c r="O100" i="18"/>
  <c r="P100" i="18" s="1"/>
  <c r="O76" i="18"/>
  <c r="P76" i="18" s="1"/>
  <c r="O88" i="18"/>
  <c r="P88" i="18" s="1"/>
  <c r="O53" i="18"/>
  <c r="P53" i="18" s="1"/>
  <c r="O50" i="18"/>
  <c r="P50" i="18" s="1"/>
  <c r="O39" i="18"/>
  <c r="P39" i="18" s="1"/>
  <c r="O84" i="18"/>
  <c r="P84" i="18" s="1"/>
  <c r="O105" i="18"/>
  <c r="P105" i="18" s="1"/>
  <c r="O108" i="18"/>
  <c r="P108" i="18" s="1"/>
  <c r="K71" i="18"/>
  <c r="L71" i="18" s="1"/>
  <c r="K67" i="18"/>
  <c r="L67" i="18" s="1"/>
  <c r="O55" i="18"/>
  <c r="P55" i="18" s="1"/>
  <c r="O75" i="18"/>
  <c r="P75" i="18" s="1"/>
  <c r="O83" i="18"/>
  <c r="P83" i="18" s="1"/>
  <c r="O47" i="18"/>
  <c r="P47" i="18" s="1"/>
  <c r="K42" i="18"/>
  <c r="L42" i="18" s="1"/>
  <c r="K69" i="18"/>
  <c r="L69" i="18" s="1"/>
  <c r="K35" i="18"/>
  <c r="L35" i="18" s="1"/>
  <c r="O57" i="18"/>
  <c r="P57" i="18" s="1"/>
  <c r="O81" i="18"/>
  <c r="P81" i="18" s="1"/>
  <c r="K58" i="18"/>
  <c r="L58" i="18" s="1"/>
  <c r="O63" i="18"/>
  <c r="P63" i="18" s="1"/>
  <c r="O92" i="18"/>
  <c r="P92" i="18" s="1"/>
  <c r="O99" i="18"/>
  <c r="P99" i="18" s="1"/>
  <c r="K74" i="18"/>
  <c r="L74" i="18" s="1"/>
  <c r="K258" i="18"/>
  <c r="L258" i="18" s="1"/>
  <c r="K126" i="18"/>
  <c r="L126" i="18" s="1"/>
  <c r="K94" i="18"/>
  <c r="L94" i="18" s="1"/>
  <c r="K54" i="18"/>
  <c r="L54" i="18" s="1"/>
  <c r="O44" i="18"/>
  <c r="P44" i="18" s="1"/>
  <c r="O79" i="18"/>
  <c r="P79" i="18" s="1"/>
  <c r="O40" i="18"/>
  <c r="P40" i="18" s="1"/>
  <c r="K242" i="18"/>
  <c r="L242" i="18" s="1"/>
  <c r="O242" i="18"/>
  <c r="P242" i="18" s="1"/>
  <c r="K353" i="18"/>
  <c r="L353" i="18" s="1"/>
  <c r="O353" i="18"/>
  <c r="P353" i="18" s="1"/>
  <c r="K93" i="18"/>
  <c r="L93" i="18" s="1"/>
  <c r="O93" i="18"/>
  <c r="P93" i="18" s="1"/>
  <c r="K330" i="18"/>
  <c r="L330" i="18" s="1"/>
  <c r="O330" i="18"/>
  <c r="P330" i="18" s="1"/>
  <c r="O71" i="18"/>
  <c r="P71" i="18" s="1"/>
  <c r="O64" i="18"/>
  <c r="P64" i="18" s="1"/>
  <c r="O54" i="18"/>
  <c r="P54" i="18" s="1"/>
  <c r="O97" i="18"/>
  <c r="P97" i="18" s="1"/>
  <c r="O48" i="18"/>
  <c r="P48" i="18" s="1"/>
  <c r="O89" i="18"/>
  <c r="P89" i="18" s="1"/>
  <c r="O49" i="18"/>
  <c r="P49" i="18" s="1"/>
  <c r="O65" i="18"/>
  <c r="P65" i="18" s="1"/>
  <c r="O58" i="18"/>
  <c r="P58" i="18" s="1"/>
  <c r="O67" i="18"/>
  <c r="P67" i="18" s="1"/>
  <c r="O98" i="18"/>
  <c r="P98" i="18" s="1"/>
  <c r="K339" i="18"/>
  <c r="L339" i="18" s="1"/>
  <c r="O339" i="18"/>
  <c r="P339" i="18" s="1"/>
  <c r="K329" i="18"/>
  <c r="L329" i="18" s="1"/>
  <c r="O329" i="18"/>
  <c r="P329" i="18" s="1"/>
  <c r="K340" i="18"/>
  <c r="L340" i="18" s="1"/>
  <c r="O340" i="18"/>
  <c r="P340" i="18" s="1"/>
  <c r="K207" i="18"/>
  <c r="L207" i="18" s="1"/>
  <c r="O207" i="18"/>
  <c r="P207" i="18" s="1"/>
  <c r="K355" i="18"/>
  <c r="L355" i="18" s="1"/>
  <c r="O355" i="18"/>
  <c r="P355" i="18" s="1"/>
  <c r="K338" i="18"/>
  <c r="L338" i="18" s="1"/>
  <c r="O338" i="18"/>
  <c r="P338" i="18" s="1"/>
  <c r="K365" i="18"/>
  <c r="L365" i="18" s="1"/>
  <c r="O365" i="18"/>
  <c r="P365" i="18" s="1"/>
  <c r="O109" i="18"/>
  <c r="P109" i="18" s="1"/>
  <c r="O113" i="18"/>
  <c r="P113" i="18" s="1"/>
  <c r="O117" i="18"/>
  <c r="P117" i="18" s="1"/>
  <c r="O120" i="18"/>
  <c r="P120" i="18" s="1"/>
  <c r="O123" i="18"/>
  <c r="P123" i="18" s="1"/>
  <c r="O127" i="18"/>
  <c r="P127" i="18" s="1"/>
  <c r="O131" i="18"/>
  <c r="P131" i="18" s="1"/>
  <c r="O135" i="18"/>
  <c r="P135" i="18" s="1"/>
  <c r="O139" i="18"/>
  <c r="P139" i="18" s="1"/>
  <c r="O143" i="18"/>
  <c r="P143" i="18" s="1"/>
  <c r="O147" i="18"/>
  <c r="P147" i="18" s="1"/>
  <c r="O152" i="18"/>
  <c r="P152" i="18" s="1"/>
  <c r="O157" i="18"/>
  <c r="P157" i="18" s="1"/>
  <c r="O159" i="18"/>
  <c r="P159" i="18" s="1"/>
  <c r="O163" i="18"/>
  <c r="P163" i="18" s="1"/>
  <c r="O167" i="18"/>
  <c r="P167" i="18" s="1"/>
  <c r="O170" i="18"/>
  <c r="P170" i="18" s="1"/>
  <c r="O176" i="18"/>
  <c r="P176" i="18" s="1"/>
  <c r="O180" i="18"/>
  <c r="P180" i="18" s="1"/>
  <c r="O184" i="18"/>
  <c r="P184" i="18" s="1"/>
  <c r="O189" i="18"/>
  <c r="P189" i="18" s="1"/>
  <c r="O193" i="18"/>
  <c r="P193" i="18" s="1"/>
  <c r="O197" i="18"/>
  <c r="P197" i="18" s="1"/>
  <c r="O201" i="18"/>
  <c r="P201" i="18" s="1"/>
  <c r="O224" i="18"/>
  <c r="P224" i="18" s="1"/>
  <c r="O233" i="18"/>
  <c r="P233" i="18" s="1"/>
  <c r="O237" i="18"/>
  <c r="P237" i="18" s="1"/>
  <c r="O241" i="18"/>
  <c r="P241" i="18" s="1"/>
  <c r="O246" i="18"/>
  <c r="P246" i="18" s="1"/>
  <c r="O226" i="18"/>
  <c r="P226" i="18" s="1"/>
  <c r="O252" i="18"/>
  <c r="P252" i="18" s="1"/>
  <c r="O257" i="18"/>
  <c r="P257" i="18" s="1"/>
  <c r="O263" i="18"/>
  <c r="P263" i="18" s="1"/>
  <c r="O267" i="18"/>
  <c r="P267" i="18" s="1"/>
  <c r="O275" i="18"/>
  <c r="P275" i="18" s="1"/>
  <c r="O279" i="18"/>
  <c r="P279" i="18" s="1"/>
  <c r="O283" i="18"/>
  <c r="P283" i="18" s="1"/>
  <c r="O287" i="18"/>
  <c r="P287" i="18" s="1"/>
  <c r="O291" i="18"/>
  <c r="P291" i="18" s="1"/>
  <c r="O295" i="18"/>
  <c r="P295" i="18" s="1"/>
  <c r="O301" i="18"/>
  <c r="P301" i="18" s="1"/>
  <c r="O305" i="18"/>
  <c r="P305" i="18" s="1"/>
  <c r="O309" i="18"/>
  <c r="P309" i="18" s="1"/>
  <c r="O313" i="18"/>
  <c r="P313" i="18" s="1"/>
  <c r="O317" i="18"/>
  <c r="P317" i="18" s="1"/>
  <c r="O321" i="18"/>
  <c r="P321" i="18" s="1"/>
  <c r="O325" i="18"/>
  <c r="P325" i="18" s="1"/>
  <c r="K350" i="18"/>
  <c r="L350" i="18" s="1"/>
  <c r="O350" i="18"/>
  <c r="P350" i="18" s="1"/>
  <c r="K24" i="18"/>
  <c r="L24" i="18" s="1"/>
  <c r="O24" i="18"/>
  <c r="P24" i="18" s="1"/>
  <c r="K351" i="18"/>
  <c r="L351" i="18" s="1"/>
  <c r="O351" i="18"/>
  <c r="P351" i="18" s="1"/>
  <c r="K331" i="18"/>
  <c r="L331" i="18" s="1"/>
  <c r="O331" i="18"/>
  <c r="P331" i="18" s="1"/>
  <c r="O85" i="18"/>
  <c r="P85" i="18" s="1"/>
  <c r="O22" i="18"/>
  <c r="P22" i="18" s="1"/>
  <c r="O73" i="18"/>
  <c r="P73" i="18" s="1"/>
  <c r="O91" i="18"/>
  <c r="P91" i="18" s="1"/>
  <c r="O35" i="18"/>
  <c r="P35" i="18" s="1"/>
  <c r="O78" i="18"/>
  <c r="P78" i="18" s="1"/>
  <c r="O28" i="18"/>
  <c r="P28" i="18" s="1"/>
  <c r="O80" i="18"/>
  <c r="P80" i="18" s="1"/>
  <c r="O69" i="18"/>
  <c r="P69" i="18" s="1"/>
  <c r="O86" i="18"/>
  <c r="P86" i="18" s="1"/>
  <c r="K360" i="18"/>
  <c r="L360" i="18" s="1"/>
  <c r="O360" i="18"/>
  <c r="P360" i="18" s="1"/>
  <c r="K297" i="18"/>
  <c r="L297" i="18" s="1"/>
  <c r="O297" i="18"/>
  <c r="P297" i="18" s="1"/>
  <c r="O110" i="18"/>
  <c r="P110" i="18" s="1"/>
  <c r="O114" i="18"/>
  <c r="P114" i="18" s="1"/>
  <c r="O121" i="18"/>
  <c r="P121" i="18" s="1"/>
  <c r="O124" i="18"/>
  <c r="P124" i="18" s="1"/>
  <c r="O128" i="18"/>
  <c r="P128" i="18" s="1"/>
  <c r="O132" i="18"/>
  <c r="P132" i="18" s="1"/>
  <c r="O136" i="18"/>
  <c r="P136" i="18" s="1"/>
  <c r="O140" i="18"/>
  <c r="P140" i="18" s="1"/>
  <c r="O144" i="18"/>
  <c r="P144" i="18" s="1"/>
  <c r="O148" i="18"/>
  <c r="P148" i="18" s="1"/>
  <c r="O153" i="18"/>
  <c r="P153" i="18" s="1"/>
  <c r="O164" i="18"/>
  <c r="P164" i="18" s="1"/>
  <c r="O168" i="18"/>
  <c r="P168" i="18" s="1"/>
  <c r="O173" i="18"/>
  <c r="P173" i="18" s="1"/>
  <c r="O177" i="18"/>
  <c r="P177" i="18" s="1"/>
  <c r="O181" i="18"/>
  <c r="P181" i="18" s="1"/>
  <c r="O185" i="18"/>
  <c r="P185" i="18" s="1"/>
  <c r="O190" i="18"/>
  <c r="P190" i="18" s="1"/>
  <c r="O194" i="18"/>
  <c r="P194" i="18" s="1"/>
  <c r="O198" i="18"/>
  <c r="P198" i="18" s="1"/>
  <c r="O202" i="18"/>
  <c r="P202" i="18" s="1"/>
  <c r="O225" i="18"/>
  <c r="P225" i="18" s="1"/>
  <c r="O234" i="18"/>
  <c r="P234" i="18" s="1"/>
  <c r="O238" i="18"/>
  <c r="P238" i="18" s="1"/>
  <c r="O247" i="18"/>
  <c r="P247" i="18" s="1"/>
  <c r="O249" i="18"/>
  <c r="P249" i="18" s="1"/>
  <c r="O253" i="18"/>
  <c r="P253" i="18" s="1"/>
  <c r="O258" i="18"/>
  <c r="P258" i="18" s="1"/>
  <c r="O264" i="18"/>
  <c r="P264" i="18" s="1"/>
  <c r="O268" i="18"/>
  <c r="P268" i="18" s="1"/>
  <c r="O272" i="18"/>
  <c r="P272" i="18" s="1"/>
  <c r="O276" i="18"/>
  <c r="P276" i="18" s="1"/>
  <c r="O280" i="18"/>
  <c r="P280" i="18" s="1"/>
  <c r="O284" i="18"/>
  <c r="P284" i="18" s="1"/>
  <c r="O288" i="18"/>
  <c r="P288" i="18" s="1"/>
  <c r="O292" i="18"/>
  <c r="P292" i="18" s="1"/>
  <c r="O296" i="18"/>
  <c r="P296" i="18" s="1"/>
  <c r="O302" i="18"/>
  <c r="P302" i="18" s="1"/>
  <c r="O310" i="18"/>
  <c r="P310" i="18" s="1"/>
  <c r="O314" i="18"/>
  <c r="P314" i="18" s="1"/>
  <c r="O318" i="18"/>
  <c r="P318" i="18" s="1"/>
  <c r="O326" i="18"/>
  <c r="P326" i="18" s="1"/>
  <c r="K366" i="18"/>
  <c r="L366" i="18" s="1"/>
  <c r="O366" i="18"/>
  <c r="P366" i="18" s="1"/>
  <c r="K359" i="18"/>
  <c r="L359" i="18" s="1"/>
  <c r="O359" i="18"/>
  <c r="P359" i="18" s="1"/>
  <c r="K368" i="18"/>
  <c r="L368" i="18" s="1"/>
  <c r="O368" i="18"/>
  <c r="P368" i="18" s="1"/>
  <c r="K332" i="18"/>
  <c r="L332" i="18" s="1"/>
  <c r="O332" i="18"/>
  <c r="P332" i="18" s="1"/>
  <c r="K221" i="18"/>
  <c r="L221" i="18" s="1"/>
  <c r="O221" i="18"/>
  <c r="P221" i="18" s="1"/>
  <c r="K348" i="18"/>
  <c r="L348" i="18" s="1"/>
  <c r="O348" i="18"/>
  <c r="P348" i="18" s="1"/>
  <c r="O74" i="18"/>
  <c r="P74" i="18" s="1"/>
  <c r="O94" i="18"/>
  <c r="P94" i="18" s="1"/>
  <c r="O37" i="18"/>
  <c r="P37" i="18" s="1"/>
  <c r="O19" i="18"/>
  <c r="P19" i="18" s="1"/>
  <c r="K354" i="18"/>
  <c r="L354" i="18" s="1"/>
  <c r="O354" i="18"/>
  <c r="P354" i="18" s="1"/>
  <c r="K298" i="18"/>
  <c r="L298" i="18" s="1"/>
  <c r="O298" i="18"/>
  <c r="P298" i="18" s="1"/>
  <c r="K337" i="18"/>
  <c r="L337" i="18" s="1"/>
  <c r="O337" i="18"/>
  <c r="P337" i="18" s="1"/>
  <c r="K328" i="18"/>
  <c r="L328" i="18" s="1"/>
  <c r="O328" i="18"/>
  <c r="P328" i="18" s="1"/>
  <c r="K333" i="18"/>
  <c r="L333" i="18" s="1"/>
  <c r="O333" i="18"/>
  <c r="P333" i="18" s="1"/>
  <c r="K343" i="18"/>
  <c r="L343" i="18" s="1"/>
  <c r="O343" i="18"/>
  <c r="P343" i="18" s="1"/>
  <c r="O106" i="18"/>
  <c r="P106" i="18" s="1"/>
  <c r="K205" i="18"/>
  <c r="L205" i="18" s="1"/>
  <c r="O205" i="18"/>
  <c r="P205" i="18" s="1"/>
  <c r="O107" i="18"/>
  <c r="P107" i="18" s="1"/>
  <c r="K204" i="18"/>
  <c r="L204" i="18" s="1"/>
  <c r="O204" i="18"/>
  <c r="P204" i="18" s="1"/>
  <c r="O115" i="18"/>
  <c r="P115" i="18" s="1"/>
  <c r="O122" i="18"/>
  <c r="P122" i="18" s="1"/>
  <c r="O125" i="18"/>
  <c r="P125" i="18" s="1"/>
  <c r="O129" i="18"/>
  <c r="P129" i="18" s="1"/>
  <c r="O133" i="18"/>
  <c r="P133" i="18" s="1"/>
  <c r="O137" i="18"/>
  <c r="P137" i="18" s="1"/>
  <c r="O141" i="18"/>
  <c r="P141" i="18" s="1"/>
  <c r="O149" i="18"/>
  <c r="P149" i="18" s="1"/>
  <c r="O154" i="18"/>
  <c r="P154" i="18" s="1"/>
  <c r="O151" i="18"/>
  <c r="P151" i="18" s="1"/>
  <c r="O161" i="18"/>
  <c r="P161" i="18" s="1"/>
  <c r="O165" i="18"/>
  <c r="P165" i="18" s="1"/>
  <c r="O169" i="18"/>
  <c r="P169" i="18" s="1"/>
  <c r="O174" i="18"/>
  <c r="P174" i="18" s="1"/>
  <c r="O178" i="18"/>
  <c r="P178" i="18" s="1"/>
  <c r="O182" i="18"/>
  <c r="P182" i="18" s="1"/>
  <c r="O187" i="18"/>
  <c r="P187" i="18" s="1"/>
  <c r="O191" i="18"/>
  <c r="P191" i="18" s="1"/>
  <c r="O195" i="18"/>
  <c r="P195" i="18" s="1"/>
  <c r="O199" i="18"/>
  <c r="P199" i="18" s="1"/>
  <c r="O222" i="18"/>
  <c r="P222" i="18" s="1"/>
  <c r="O227" i="18"/>
  <c r="P227" i="18" s="1"/>
  <c r="O231" i="18"/>
  <c r="P231" i="18" s="1"/>
  <c r="O235" i="18"/>
  <c r="P235" i="18" s="1"/>
  <c r="O239" i="18"/>
  <c r="P239" i="18" s="1"/>
  <c r="O244" i="18"/>
  <c r="P244" i="18" s="1"/>
  <c r="O254" i="18"/>
  <c r="P254" i="18" s="1"/>
  <c r="O250" i="18"/>
  <c r="P250" i="18" s="1"/>
  <c r="O255" i="18"/>
  <c r="P255" i="18" s="1"/>
  <c r="O259" i="18"/>
  <c r="P259" i="18" s="1"/>
  <c r="O265" i="18"/>
  <c r="P265" i="18" s="1"/>
  <c r="O269" i="18"/>
  <c r="P269" i="18" s="1"/>
  <c r="O273" i="18"/>
  <c r="P273" i="18" s="1"/>
  <c r="O277" i="18"/>
  <c r="P277" i="18" s="1"/>
  <c r="O281" i="18"/>
  <c r="P281" i="18" s="1"/>
  <c r="O285" i="18"/>
  <c r="P285" i="18" s="1"/>
  <c r="O289" i="18"/>
  <c r="P289" i="18" s="1"/>
  <c r="O293" i="18"/>
  <c r="P293" i="18" s="1"/>
  <c r="O299" i="18"/>
  <c r="P299" i="18" s="1"/>
  <c r="O303" i="18"/>
  <c r="P303" i="18" s="1"/>
  <c r="O311" i="18"/>
  <c r="P311" i="18" s="1"/>
  <c r="O315" i="18"/>
  <c r="P315" i="18" s="1"/>
  <c r="O319" i="18"/>
  <c r="P319" i="18" s="1"/>
  <c r="O323" i="18"/>
  <c r="P323" i="18" s="1"/>
  <c r="O261" i="18"/>
  <c r="P261" i="18" s="1"/>
  <c r="K345" i="18"/>
  <c r="L345" i="18" s="1"/>
  <c r="O345" i="18"/>
  <c r="P345" i="18" s="1"/>
  <c r="K102" i="18"/>
  <c r="L102" i="18" s="1"/>
  <c r="O102" i="18"/>
  <c r="P102" i="18" s="1"/>
  <c r="O42" i="18"/>
  <c r="P42" i="18" s="1"/>
  <c r="O77" i="18"/>
  <c r="P77" i="18" s="1"/>
  <c r="O33" i="18"/>
  <c r="P33" i="18" s="1"/>
  <c r="O90" i="18"/>
  <c r="P90" i="18" s="1"/>
  <c r="O23" i="18"/>
  <c r="P23" i="18" s="1"/>
  <c r="O66" i="18"/>
  <c r="P66" i="18" s="1"/>
  <c r="K349" i="18"/>
  <c r="L349" i="18" s="1"/>
  <c r="O349" i="18"/>
  <c r="P349" i="18" s="1"/>
  <c r="K206" i="18"/>
  <c r="L206" i="18" s="1"/>
  <c r="O206" i="18"/>
  <c r="P206" i="18" s="1"/>
  <c r="K172" i="18"/>
  <c r="L172" i="18" s="1"/>
  <c r="O172" i="18"/>
  <c r="P172" i="18" s="1"/>
  <c r="K334" i="18"/>
  <c r="L334" i="18" s="1"/>
  <c r="O334" i="18"/>
  <c r="P334" i="18" s="1"/>
  <c r="K336" i="18"/>
  <c r="L336" i="18" s="1"/>
  <c r="O336" i="18"/>
  <c r="P336" i="18" s="1"/>
  <c r="K352" i="18"/>
  <c r="L352" i="18" s="1"/>
  <c r="O352" i="18"/>
  <c r="P352" i="18" s="1"/>
  <c r="K367" i="18"/>
  <c r="L367" i="18" s="1"/>
  <c r="O367" i="18"/>
  <c r="P367" i="18" s="1"/>
  <c r="K342" i="18"/>
  <c r="L342" i="18" s="1"/>
  <c r="O342" i="18"/>
  <c r="P342" i="18" s="1"/>
  <c r="K347" i="18"/>
  <c r="L347" i="18" s="1"/>
  <c r="O347" i="18"/>
  <c r="P347" i="18" s="1"/>
  <c r="K364" i="18"/>
  <c r="L364" i="18" s="1"/>
  <c r="O364" i="18"/>
  <c r="P364" i="18" s="1"/>
  <c r="K203" i="18"/>
  <c r="L203" i="18" s="1"/>
  <c r="O203" i="18"/>
  <c r="P203" i="18" s="1"/>
  <c r="O112" i="18"/>
  <c r="P112" i="18" s="1"/>
  <c r="O116" i="18"/>
  <c r="P116" i="18" s="1"/>
  <c r="O119" i="18"/>
  <c r="P119" i="18" s="1"/>
  <c r="O126" i="18"/>
  <c r="P126" i="18" s="1"/>
  <c r="O130" i="18"/>
  <c r="P130" i="18" s="1"/>
  <c r="O134" i="18"/>
  <c r="P134" i="18" s="1"/>
  <c r="O142" i="18"/>
  <c r="P142" i="18" s="1"/>
  <c r="O146" i="18"/>
  <c r="P146" i="18" s="1"/>
  <c r="O150" i="18"/>
  <c r="P150" i="18" s="1"/>
  <c r="O155" i="18"/>
  <c r="P155" i="18" s="1"/>
  <c r="O158" i="18"/>
  <c r="P158" i="18" s="1"/>
  <c r="O162" i="18"/>
  <c r="P162" i="18" s="1"/>
  <c r="O166" i="18"/>
  <c r="P166" i="18" s="1"/>
  <c r="O171" i="18"/>
  <c r="P171" i="18" s="1"/>
  <c r="O175" i="18"/>
  <c r="P175" i="18" s="1"/>
  <c r="O179" i="18"/>
  <c r="P179" i="18" s="1"/>
  <c r="O183" i="18"/>
  <c r="P183" i="18" s="1"/>
  <c r="O188" i="18"/>
  <c r="P188" i="18" s="1"/>
  <c r="O192" i="18"/>
  <c r="P192" i="18" s="1"/>
  <c r="O196" i="18"/>
  <c r="P196" i="18" s="1"/>
  <c r="O200" i="18"/>
  <c r="P200" i="18" s="1"/>
  <c r="O223" i="18"/>
  <c r="P223" i="18" s="1"/>
  <c r="O228" i="18"/>
  <c r="P228" i="18" s="1"/>
  <c r="O232" i="18"/>
  <c r="P232" i="18" s="1"/>
  <c r="O240" i="18"/>
  <c r="P240" i="18" s="1"/>
  <c r="O245" i="18"/>
  <c r="P245" i="18" s="1"/>
  <c r="O248" i="18"/>
  <c r="P248" i="18" s="1"/>
  <c r="O251" i="18"/>
  <c r="P251" i="18" s="1"/>
  <c r="O256" i="18"/>
  <c r="P256" i="18" s="1"/>
  <c r="O262" i="18"/>
  <c r="P262" i="18" s="1"/>
  <c r="O266" i="18"/>
  <c r="P266" i="18" s="1"/>
  <c r="O270" i="18"/>
  <c r="P270" i="18" s="1"/>
  <c r="O274" i="18"/>
  <c r="P274" i="18" s="1"/>
  <c r="O282" i="18"/>
  <c r="P282" i="18" s="1"/>
  <c r="O286" i="18"/>
  <c r="P286" i="18" s="1"/>
  <c r="O290" i="18"/>
  <c r="P290" i="18" s="1"/>
  <c r="O294" i="18"/>
  <c r="P294" i="18" s="1"/>
  <c r="O300" i="18"/>
  <c r="P300" i="18" s="1"/>
  <c r="O304" i="18"/>
  <c r="P304" i="18" s="1"/>
  <c r="O308" i="18"/>
  <c r="P308" i="18" s="1"/>
  <c r="O312" i="18"/>
  <c r="P312" i="18" s="1"/>
  <c r="O316" i="18"/>
  <c r="P316" i="18" s="1"/>
  <c r="O320" i="18"/>
  <c r="P320" i="18" s="1"/>
  <c r="O324" i="18"/>
  <c r="P324" i="18" s="1"/>
  <c r="O327" i="18"/>
  <c r="P327" i="18" s="1"/>
  <c r="K80" i="18"/>
  <c r="L80" i="18" s="1"/>
  <c r="K90" i="18"/>
  <c r="L90" i="18" s="1"/>
  <c r="K335" i="18"/>
  <c r="L335" i="18" s="1"/>
  <c r="K91" i="18"/>
  <c r="L91" i="18" s="1"/>
  <c r="K78" i="18"/>
  <c r="L78" i="18" s="1"/>
  <c r="K63" i="18"/>
  <c r="L63" i="18" s="1"/>
  <c r="K361" i="18"/>
  <c r="L361" i="18" s="1"/>
  <c r="K99" i="18"/>
  <c r="L99" i="18" s="1"/>
  <c r="K44" i="18"/>
  <c r="L44" i="18" s="1"/>
  <c r="K363" i="18"/>
  <c r="L363" i="18" s="1"/>
  <c r="K276" i="18"/>
  <c r="L276" i="18" s="1"/>
  <c r="K121" i="18"/>
  <c r="L121" i="18" s="1"/>
  <c r="K79" i="18"/>
  <c r="L79" i="18" s="1"/>
  <c r="K57" i="18"/>
  <c r="L57" i="18" s="1"/>
  <c r="K92" i="18"/>
  <c r="L92" i="18" s="1"/>
  <c r="K89" i="18"/>
  <c r="L89" i="18" s="1"/>
  <c r="K113" i="18"/>
  <c r="L113" i="18" s="1"/>
  <c r="K85" i="18"/>
  <c r="L85" i="18" s="1"/>
  <c r="K98" i="18"/>
  <c r="L98" i="18" s="1"/>
  <c r="K31" i="18"/>
  <c r="L31" i="18" s="1"/>
  <c r="K45" i="18"/>
  <c r="L45" i="18" s="1"/>
  <c r="K84" i="18"/>
  <c r="L84" i="18" s="1"/>
  <c r="K27" i="18"/>
  <c r="L27" i="18" s="1"/>
  <c r="K88" i="18"/>
  <c r="L88" i="18" s="1"/>
  <c r="K53" i="18"/>
  <c r="L53" i="18" s="1"/>
  <c r="K41" i="18"/>
  <c r="L41" i="18" s="1"/>
  <c r="K101" i="18"/>
  <c r="L101" i="18" s="1"/>
  <c r="K100" i="18"/>
  <c r="L100" i="18" s="1"/>
  <c r="K34" i="18"/>
  <c r="L34" i="18" s="1"/>
  <c r="K70" i="18"/>
  <c r="L70" i="18" s="1"/>
  <c r="K82" i="18"/>
  <c r="L82" i="18" s="1"/>
  <c r="K105" i="18"/>
  <c r="L105" i="18" s="1"/>
  <c r="K129" i="18"/>
  <c r="L129" i="18" s="1"/>
  <c r="K108" i="18"/>
  <c r="L108" i="18" s="1"/>
  <c r="K64" i="18"/>
  <c r="L64" i="18" s="1"/>
  <c r="K49" i="18"/>
  <c r="L49" i="18" s="1"/>
  <c r="K344" i="18"/>
  <c r="L344" i="18" s="1"/>
  <c r="K81" i="18"/>
  <c r="L81" i="18" s="1"/>
  <c r="K356" i="18"/>
  <c r="L356" i="18" s="1"/>
  <c r="K55" i="18"/>
  <c r="L55" i="18" s="1"/>
  <c r="K75" i="18"/>
  <c r="L75" i="18" s="1"/>
  <c r="K40" i="18"/>
  <c r="L40" i="18" s="1"/>
  <c r="K83" i="18"/>
  <c r="L83" i="18" s="1"/>
  <c r="K106" i="18"/>
  <c r="L106" i="18" s="1"/>
  <c r="K327" i="18"/>
  <c r="L327" i="18" s="1"/>
  <c r="K117" i="18"/>
  <c r="L117" i="18" s="1"/>
  <c r="K109" i="18"/>
  <c r="L109" i="18" s="1"/>
  <c r="K47" i="18"/>
  <c r="L47" i="18" s="1"/>
  <c r="K187" i="18"/>
  <c r="L187" i="18" s="1"/>
  <c r="K127" i="18"/>
  <c r="L127" i="18" s="1"/>
  <c r="K61" i="18"/>
  <c r="L61" i="18" s="1"/>
  <c r="K87" i="18"/>
  <c r="L87" i="18" s="1"/>
  <c r="K86" i="18"/>
  <c r="L86" i="18" s="1"/>
  <c r="K2" i="18"/>
  <c r="L2" i="18" s="1"/>
  <c r="K38" i="18"/>
  <c r="L38" i="18" s="1"/>
  <c r="K76" i="18"/>
  <c r="L76" i="18" s="1"/>
  <c r="K318" i="18"/>
  <c r="L318" i="18" s="1"/>
  <c r="K39" i="18"/>
  <c r="L39" i="18" s="1"/>
  <c r="K29" i="18"/>
  <c r="L29" i="18" s="1"/>
  <c r="K104" i="18"/>
  <c r="L104" i="18" s="1"/>
  <c r="K36" i="18"/>
  <c r="L36" i="18" s="1"/>
  <c r="K95" i="18"/>
  <c r="L95" i="18" s="1"/>
  <c r="P2" i="16"/>
  <c r="Q2" i="16" s="1"/>
  <c r="R2" i="16" s="1"/>
  <c r="O4" i="15"/>
  <c r="P4" i="15" s="1"/>
  <c r="O4" i="16"/>
  <c r="N2" i="15"/>
  <c r="P3" i="16"/>
  <c r="Q3" i="16" s="1"/>
  <c r="R4" i="16" s="1"/>
  <c r="Q3" i="15"/>
  <c r="Q4" i="15" l="1"/>
  <c r="Q5" i="15"/>
  <c r="R3" i="16"/>
</calcChain>
</file>

<file path=xl/comments1.xml><?xml version="1.0" encoding="utf-8"?>
<comments xmlns="http://schemas.openxmlformats.org/spreadsheetml/2006/main">
  <authors>
    <author>bertrand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bertrand:</t>
        </r>
        <r>
          <rPr>
            <sz val="9"/>
            <color indexed="81"/>
            <rFont val="Tahoma"/>
            <family val="2"/>
          </rPr>
          <t xml:space="preserve">
Remplacement moteur registre + télécommande PAC</t>
        </r>
      </text>
    </comment>
  </commentList>
</comments>
</file>

<file path=xl/sharedStrings.xml><?xml version="1.0" encoding="utf-8"?>
<sst xmlns="http://schemas.openxmlformats.org/spreadsheetml/2006/main" count="182" uniqueCount="128">
  <si>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</si>
  <si>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</si>
  <si>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</si>
  <si>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</si>
  <si>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</si>
  <si>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</si>
  <si>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</si>
  <si>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</si>
  <si>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</si>
  <si>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</si>
  <si>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</si>
  <si>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</si>
  <si>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</si>
  <si>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</si>
  <si>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</si>
  <si>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</si>
  <si>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</si>
  <si>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</si>
  <si>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</si>
  <si>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</si>
  <si>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</si>
  <si>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</si>
  <si>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</si>
  <si>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</si>
  <si>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</si>
  <si>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</si>
  <si>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</si>
  <si>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Montant TTC</t>
  </si>
  <si>
    <t>Date Début</t>
  </si>
  <si>
    <t>Date Fin</t>
  </si>
  <si>
    <t>HP Début</t>
  </si>
  <si>
    <t>HP Fin</t>
  </si>
  <si>
    <t>HC Début</t>
  </si>
  <si>
    <t>HC Fin</t>
  </si>
  <si>
    <t>Diff jour</t>
  </si>
  <si>
    <t>Montant / jour</t>
  </si>
  <si>
    <t>Diff HP</t>
  </si>
  <si>
    <t>Diff HC</t>
  </si>
  <si>
    <t>Total conso</t>
  </si>
  <si>
    <t>Montant / Kwh</t>
  </si>
  <si>
    <t>Kwh / jour</t>
  </si>
  <si>
    <t>Projection € 365j</t>
  </si>
  <si>
    <t>Projection Kwh 365j</t>
  </si>
  <si>
    <t>Total jour
depuis entrée</t>
  </si>
  <si>
    <t>Total HP + HC
depuis entrée</t>
  </si>
  <si>
    <t>Kwh / jour
depuis entrée</t>
  </si>
  <si>
    <t>Projection Kwh 365j
depuis entrée</t>
  </si>
  <si>
    <t>Montant TTC
depuis entrée</t>
  </si>
  <si>
    <t>Montant TTC / jour
depuis entrée</t>
  </si>
  <si>
    <t>Projection € 365j
depuis entrée</t>
  </si>
  <si>
    <t>Projection € mois
depuis l'entrée</t>
  </si>
  <si>
    <t>Année last</t>
  </si>
  <si>
    <t>1er jour</t>
  </si>
  <si>
    <t>Dernier jour</t>
  </si>
  <si>
    <t>Ecart HP</t>
  </si>
  <si>
    <t>Ecart HC</t>
  </si>
  <si>
    <t>Ecart HP + HC</t>
  </si>
  <si>
    <t>Date 1er jour</t>
  </si>
  <si>
    <t>Date Dernier jour</t>
  </si>
  <si>
    <t>Ecart Date</t>
  </si>
  <si>
    <t>HP+HC/heure</t>
  </si>
  <si>
    <t>HP+HC/jour</t>
  </si>
  <si>
    <t>HP+HC/an</t>
  </si>
  <si>
    <t>Année + 1</t>
  </si>
  <si>
    <t>Diff an-1</t>
  </si>
  <si>
    <t>Diff HP Cumul
1er jour</t>
  </si>
  <si>
    <t>Diff HP Cumul
Dernier jour</t>
  </si>
  <si>
    <t>Diff HC Cumul
1er jour</t>
  </si>
  <si>
    <t>Diff HC Cumul
Dernier jour</t>
  </si>
  <si>
    <t>Montant / Kwh
depuis entrée</t>
  </si>
  <si>
    <t>Ecart conso
période équivalente</t>
  </si>
  <si>
    <t>Ecart montant
période équivalente</t>
  </si>
  <si>
    <t>Ecart montant Kwh
période équivalente</t>
  </si>
  <si>
    <t>Jour</t>
  </si>
  <si>
    <t>Jours Mois</t>
  </si>
  <si>
    <t>2021</t>
  </si>
  <si>
    <t>2022</t>
  </si>
  <si>
    <t>2023</t>
  </si>
  <si>
    <t>Jour Mois Année</t>
  </si>
  <si>
    <t>Position 2022</t>
  </si>
  <si>
    <t>Position 2021</t>
  </si>
  <si>
    <t>Position 2023</t>
  </si>
  <si>
    <t>Cumul 2021</t>
  </si>
  <si>
    <t>Cumul 2022</t>
  </si>
  <si>
    <t>Cumul 2023</t>
  </si>
  <si>
    <t>Jour lettre</t>
  </si>
  <si>
    <t>lundi</t>
  </si>
  <si>
    <t>mardi</t>
  </si>
  <si>
    <t>mercredi</t>
  </si>
  <si>
    <t>jeudi</t>
  </si>
  <si>
    <t>vendredi</t>
  </si>
  <si>
    <t>samedi</t>
  </si>
  <si>
    <t>dimanche</t>
  </si>
  <si>
    <t>Ecart 2021 2022</t>
  </si>
  <si>
    <t>Ecart 2022 2023</t>
  </si>
  <si>
    <t>2024</t>
  </si>
  <si>
    <t>Cumul 2024</t>
  </si>
  <si>
    <t>Ecart 2023 2024</t>
  </si>
  <si>
    <t>Position 2024</t>
  </si>
  <si>
    <t>Ecart % 
2022 2023</t>
  </si>
  <si>
    <t>Ecart % 
2021 2022</t>
  </si>
  <si>
    <t>Ecart % 
2023 2024</t>
  </si>
  <si>
    <t>Ecart montant Kwh
depuis entrée</t>
  </si>
  <si>
    <t>Mois Année</t>
  </si>
  <si>
    <t>Moyenne
Température Min</t>
  </si>
  <si>
    <t>Moyenne
Température Max</t>
  </si>
  <si>
    <t>Moyenne
Conso HP + HC / jour</t>
  </si>
  <si>
    <t>Min
Température Min</t>
  </si>
  <si>
    <t>Max
Température Max</t>
  </si>
  <si>
    <t>90 percentile</t>
  </si>
  <si>
    <t>1er quartile</t>
  </si>
  <si>
    <t>2éme quartile</t>
  </si>
  <si>
    <t>3ème quartile</t>
  </si>
  <si>
    <t>4éme quartile</t>
  </si>
  <si>
    <t>BUMPER CUISINE CHIFFREES 1 06 SEC 1920x1080 (youtube.com)</t>
  </si>
  <si>
    <t>Projection € 365j
depuis entrée
(dernier prix)</t>
  </si>
  <si>
    <t>Montant TTC / jour
depuis entrée
(dernier prix)</t>
  </si>
  <si>
    <t>Projection € mois
depuis l'entrée
(dernier prix)</t>
  </si>
  <si>
    <t>Année
glissante</t>
  </si>
  <si>
    <t>2023 Min</t>
  </si>
  <si>
    <t>2023 Max</t>
  </si>
  <si>
    <t>2024 Min</t>
  </si>
  <si>
    <t>2024 Max</t>
  </si>
  <si>
    <t>Ecart</t>
  </si>
  <si>
    <t>2022 Min</t>
  </si>
  <si>
    <t>2022 Max</t>
  </si>
  <si>
    <t>Moyenne</t>
  </si>
  <si>
    <t>Médiane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</si>
</sst>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165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center" vertical="center" wrapText="1"/>
    </xf>
    <xf numFmtId="1" fontId="4" fillId="0" borderId="0" xfId="0" applyNumberFormat="1" applyFont="1" applyAlignment="1" applyProtection="1">
      <alignment horizontal="center" vertical="center"/>
    </xf>
    <xf numFmtId="20" fontId="4" fillId="0" borderId="0" xfId="0" applyNumberFormat="1" applyFont="1" applyAlignment="1" applyProtection="1">
      <alignment horizontal="center" vertical="center"/>
    </xf>
    <xf numFmtId="20" fontId="5" fillId="0" borderId="0" xfId="0" applyNumberFormat="1" applyFont="1" applyAlignment="1" applyProtection="1">
      <alignment horizontal="center" vertical="center"/>
    </xf>
    <xf numFmtId="165" fontId="6" fillId="0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NumberFormat="1" applyFont="1" applyFill="1" applyAlignment="1" applyProtection="1">
      <alignment horizontal="center" vertical="center"/>
    </xf>
    <xf numFmtId="166" fontId="6" fillId="0" borderId="0" xfId="0" applyNumberFormat="1" applyFont="1" applyFill="1" applyAlignment="1" applyProtection="1">
      <alignment horizontal="center" vertical="center"/>
    </xf>
    <xf numFmtId="167" fontId="6" fillId="0" borderId="0" xfId="0" applyNumberFormat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9" fontId="6" fillId="0" borderId="0" xfId="2" applyNumberFormat="1" applyFont="1" applyAlignment="1" applyProtection="1">
      <alignment horizontal="center" vertical="center"/>
      <protection locked="0"/>
    </xf>
    <xf numFmtId="0" fontId="4" fillId="2" borderId="0" xfId="0" applyNumberFormat="1" applyFont="1" applyFill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70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69" fontId="6" fillId="0" borderId="0" xfId="2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4" fillId="7" borderId="0" xfId="0" applyFont="1" applyFill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4" fillId="0" borderId="0" xfId="4" applyFont="1" applyAlignment="1">
      <alignment horizontal="center" vertical="center"/>
    </xf>
    <xf numFmtId="9" fontId="6" fillId="0" borderId="0" xfId="4" applyFont="1" applyAlignment="1">
      <alignment horizontal="center" vertical="center"/>
    </xf>
    <xf numFmtId="9" fontId="7" fillId="0" borderId="0" xfId="4" applyFont="1" applyAlignment="1">
      <alignment horizontal="center" vertical="center"/>
    </xf>
    <xf numFmtId="165" fontId="8" fillId="0" borderId="0" xfId="0" applyNumberFormat="1" applyFont="1" applyFill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11" fillId="4" borderId="0" xfId="0" applyFont="1" applyFill="1" applyAlignment="1" applyProtection="1">
      <alignment horizontal="center" vertical="center" wrapText="1"/>
    </xf>
    <xf numFmtId="169" fontId="6" fillId="8" borderId="0" xfId="2" applyNumberFormat="1" applyFont="1" applyFill="1" applyAlignment="1">
      <alignment horizontal="center" vertical="center"/>
    </xf>
    <xf numFmtId="171" fontId="4" fillId="0" borderId="0" xfId="2" applyNumberFormat="1" applyFont="1" applyAlignment="1">
      <alignment horizontal="center" vertical="center"/>
    </xf>
    <xf numFmtId="171" fontId="6" fillId="0" borderId="0" xfId="2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2" fillId="0" borderId="0" xfId="0" applyNumberFormat="1" applyFont="1" applyFill="1" applyAlignment="1" applyProtection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3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0" fontId="4" fillId="0" borderId="0" xfId="4" applyNumberFormat="1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 applyProtection="1">
      <alignment horizontal="center" vertical="center"/>
    </xf>
    <xf numFmtId="9" fontId="4" fillId="0" borderId="0" xfId="4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9" fontId="4" fillId="8" borderId="0" xfId="4" applyFont="1" applyFill="1" applyAlignment="1">
      <alignment horizontal="center"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3" fillId="0" borderId="0" xfId="3"/>
    <xf numFmtId="169" fontId="4" fillId="0" borderId="0" xfId="0" applyNumberFormat="1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44" fontId="6" fillId="0" borderId="0" xfId="2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9" fontId="6" fillId="0" borderId="0" xfId="2" applyNumberFormat="1" applyFont="1" applyFill="1" applyAlignment="1">
      <alignment horizontal="center" vertical="center"/>
    </xf>
    <xf numFmtId="170" fontId="6" fillId="0" borderId="0" xfId="0" applyNumberFormat="1" applyFont="1" applyFill="1" applyAlignment="1">
      <alignment horizontal="center" vertical="center"/>
    </xf>
    <xf numFmtId="9" fontId="6" fillId="0" borderId="0" xfId="4" applyFont="1" applyFill="1" applyAlignment="1">
      <alignment horizontal="center" vertical="center"/>
    </xf>
    <xf numFmtId="170" fontId="6" fillId="0" borderId="0" xfId="2" applyNumberFormat="1" applyFont="1" applyFill="1" applyAlignment="1">
      <alignment horizontal="center" vertical="center"/>
    </xf>
    <xf numFmtId="171" fontId="6" fillId="0" borderId="0" xfId="2" applyNumberFormat="1" applyFont="1" applyFill="1" applyAlignment="1">
      <alignment horizontal="center" vertical="center"/>
    </xf>
    <xf numFmtId="44" fontId="6" fillId="0" borderId="0" xfId="2" applyNumberFormat="1" applyFont="1" applyFill="1" applyAlignment="1">
      <alignment horizontal="center" vertical="center"/>
    </xf>
    <xf numFmtId="43" fontId="6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69" fontId="6" fillId="2" borderId="0" xfId="2" applyNumberFormat="1" applyFont="1" applyFill="1" applyAlignment="1">
      <alignment horizontal="center" vertical="center"/>
    </xf>
    <xf numFmtId="170" fontId="6" fillId="2" borderId="0" xfId="0" applyNumberFormat="1" applyFont="1" applyFill="1" applyAlignment="1">
      <alignment horizontal="center" vertical="center"/>
    </xf>
    <xf numFmtId="9" fontId="6" fillId="2" borderId="0" xfId="4" applyFont="1" applyFill="1" applyAlignment="1">
      <alignment horizontal="center" vertical="center"/>
    </xf>
    <xf numFmtId="170" fontId="6" fillId="2" borderId="0" xfId="2" applyNumberFormat="1" applyFont="1" applyFill="1" applyAlignment="1">
      <alignment horizontal="center" vertical="center"/>
    </xf>
    <xf numFmtId="171" fontId="6" fillId="2" borderId="0" xfId="2" applyNumberFormat="1" applyFont="1" applyFill="1" applyAlignment="1">
      <alignment horizontal="center" vertical="center"/>
    </xf>
    <xf numFmtId="44" fontId="6" fillId="2" borderId="0" xfId="2" applyNumberFormat="1" applyFont="1" applyFill="1" applyAlignment="1">
      <alignment horizontal="center" vertical="center"/>
    </xf>
    <xf numFmtId="43" fontId="6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</cellXfs>
  <cellStyles count="5">
    <cellStyle name="Euro" xfId="1"/>
    <cellStyle name="Lien hypertexte" xfId="3" builtinId="8"/>
    <cellStyle name="Milliers" xfId="2" builtinId="3"/>
    <cellStyle name="Normal" xfId="0" builtinId="0"/>
    <cellStyle name="Pourcentage" xfId="4" builtinId="5"/>
  </cellStyles>
  <dxfs count="194"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'Suivi Factures'!$H$2</c:f>
              <c:strCache>
                <c:ptCount val="1"/>
                <c:pt idx="0">
                  <c:v>Ecart montant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Factures'!$H$16:$H$23</c:f>
              <c:numCache>
                <c:formatCode>0%</c:formatCode>
                <c:ptCount val="8"/>
                <c:pt idx="0">
                  <c:v>-2.1306292192440308E-2</c:v>
                </c:pt>
                <c:pt idx="1">
                  <c:v>-0.25676267180250373</c:v>
                </c:pt>
                <c:pt idx="2">
                  <c:v>-6.1071425304808323E-2</c:v>
                </c:pt>
                <c:pt idx="3">
                  <c:v>4.5301085596204778E-2</c:v>
                </c:pt>
                <c:pt idx="4">
                  <c:v>4.6211228896741417E-2</c:v>
                </c:pt>
                <c:pt idx="5">
                  <c:v>0.19380637870906156</c:v>
                </c:pt>
                <c:pt idx="6">
                  <c:v>0.20623407720900463</c:v>
                </c:pt>
                <c:pt idx="7">
                  <c:v>0.78980748301872616</c:v>
                </c:pt>
              </c:numCache>
            </c:numRef>
          </c:val>
          <c:smooth val="0"/>
        </c:ser>
        <c:ser>
          <c:idx val="12"/>
          <c:order val="1"/>
          <c:tx>
            <c:strRef>
              <c:f>'Suivi Factures'!$P$2</c:f>
              <c:strCache>
                <c:ptCount val="1"/>
                <c:pt idx="0">
                  <c:v>Ecart conso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Factures'!$P$16:$P$23</c:f>
              <c:numCache>
                <c:formatCode>0%</c:formatCode>
                <c:ptCount val="8"/>
                <c:pt idx="0">
                  <c:v>-4.6214099216710186E-2</c:v>
                </c:pt>
                <c:pt idx="1">
                  <c:v>-0.30778816199376946</c:v>
                </c:pt>
                <c:pt idx="2">
                  <c:v>-0.10755526228967338</c:v>
                </c:pt>
                <c:pt idx="3">
                  <c:v>-0.1103202846975089</c:v>
                </c:pt>
                <c:pt idx="4">
                  <c:v>-0.17551755175517553</c:v>
                </c:pt>
                <c:pt idx="5">
                  <c:v>-5.545286506469501E-2</c:v>
                </c:pt>
                <c:pt idx="6">
                  <c:v>-1.4153846153846154E-2</c:v>
                </c:pt>
                <c:pt idx="7">
                  <c:v>0.77074235807860259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'Suivi Factures'!$T$2</c:f>
              <c:strCache>
                <c:ptCount val="1"/>
                <c:pt idx="0">
                  <c:v>Ecart montant Kwh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Factures'!$T$16:$T$23</c:f>
              <c:numCache>
                <c:formatCode>0%</c:formatCode>
                <c:ptCount val="8"/>
                <c:pt idx="0">
                  <c:v>2.6114673118793768E-2</c:v>
                </c:pt>
                <c:pt idx="1">
                  <c:v>7.3713691950478388E-2</c:v>
                </c:pt>
                <c:pt idx="2">
                  <c:v>5.2085955601155656E-2</c:v>
                </c:pt>
                <c:pt idx="3">
                  <c:v>0.17491842021013426</c:v>
                </c:pt>
                <c:pt idx="4">
                  <c:v>0.26893086823611317</c:v>
                </c:pt>
                <c:pt idx="5">
                  <c:v>0.26389285886810632</c:v>
                </c:pt>
                <c:pt idx="6">
                  <c:v>0.22355204460963338</c:v>
                </c:pt>
                <c:pt idx="7">
                  <c:v>1.0766741334866317E-2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195520"/>
        <c:axId val="181197056"/>
      </c:lineChart>
      <c:dateAx>
        <c:axId val="181195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81197056"/>
        <c:crosses val="autoZero"/>
        <c:auto val="1"/>
        <c:lblOffset val="100"/>
        <c:baseTimeUnit val="months"/>
      </c:dateAx>
      <c:valAx>
        <c:axId val="1811970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81195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Factures'!$Y$2</c:f>
              <c:strCache>
                <c:ptCount val="1"/>
                <c:pt idx="0">
                  <c:v>Projection Kwh 365j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Factures'!$Y$12:$Y$24</c:f>
              <c:numCache>
                <c:formatCode>_-* #,##0\ _€_-;\-* #,##0\ _€_-;_-* "-"??\ _€_-;_-@_-</c:formatCode>
                <c:ptCount val="13"/>
                <c:pt idx="0">
                  <c:v>25065.327868852459</c:v>
                </c:pt>
                <c:pt idx="1">
                  <c:v>16725.342857142859</c:v>
                </c:pt>
                <c:pt idx="2">
                  <c:v>11631.655629139073</c:v>
                </c:pt>
                <c:pt idx="3">
                  <c:v>13664.415274463006</c:v>
                </c:pt>
                <c:pt idx="4">
                  <c:v>12834.063636363637</c:v>
                </c:pt>
                <c:pt idx="5">
                  <c:v>11140.671641791045</c:v>
                </c:pt>
                <c:pt idx="6">
                  <c:v>11932.869785082174</c:v>
                </c:pt>
                <c:pt idx="7">
                  <c:v>11714.608599779494</c:v>
                </c:pt>
                <c:pt idx="8">
                  <c:v>10650.621963070944</c:v>
                </c:pt>
                <c:pt idx="9">
                  <c:v>11132.5</c:v>
                </c:pt>
                <c:pt idx="10">
                  <c:v>10993.008641005499</c:v>
                </c:pt>
                <c:pt idx="11">
                  <c:v>10456.007168458782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902528"/>
        <c:axId val="180912512"/>
      </c:lineChart>
      <c:lineChart>
        <c:grouping val="standard"/>
        <c:varyColors val="0"/>
        <c:ser>
          <c:idx val="1"/>
          <c:order val="1"/>
          <c:tx>
            <c:strRef>
              <c:f>'Suivi Factures'!$AC$2</c:f>
              <c:strCache>
                <c:ptCount val="1"/>
                <c:pt idx="0">
                  <c:v>Projection € 365j
depuis entrée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Factures'!$AC$12:$AC$24</c:f>
              <c:numCache>
                <c:formatCode>_-* #,##0.00\ [$€-40C]_-;\-* #,##0.00\ [$€-40C]_-;_-* "-"??\ [$€-40C]_-;_-@_-</c:formatCode>
                <c:ptCount val="13"/>
                <c:pt idx="0">
                  <c:v>4337.0975409836074</c:v>
                </c:pt>
                <c:pt idx="1">
                  <c:v>2976.2517142857141</c:v>
                </c:pt>
                <c:pt idx="2">
                  <c:v>2138.8274834437088</c:v>
                </c:pt>
                <c:pt idx="3">
                  <c:v>2493.9953460620527</c:v>
                </c:pt>
                <c:pt idx="4">
                  <c:v>2356.0086363636365</c:v>
                </c:pt>
                <c:pt idx="5">
                  <c:v>2072.7914179104478</c:v>
                </c:pt>
                <c:pt idx="6">
                  <c:v>2229.4024652338808</c:v>
                </c:pt>
                <c:pt idx="7">
                  <c:v>2233.3412348401316</c:v>
                </c:pt>
                <c:pt idx="8">
                  <c:v>2063.072934888241</c:v>
                </c:pt>
                <c:pt idx="9">
                  <c:v>2231.0815104166663</c:v>
                </c:pt>
                <c:pt idx="10">
                  <c:v>2267.4470934799683</c:v>
                </c:pt>
                <c:pt idx="11">
                  <c:v>2193.9351971326164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'Suivi Factures'!$G$2</c:f>
              <c:strCache>
                <c:ptCount val="1"/>
                <c:pt idx="0">
                  <c:v>Montant TTC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Factures'!$G$12:$G$24</c:f>
              <c:numCache>
                <c:formatCode>_-* #,##0.00\ [$€-40C]_-;\-* #,##0.00\ [$€-40C]_-;_-* "-"??\ [$€-40C]_-;_-@_-</c:formatCode>
                <c:ptCount val="13"/>
                <c:pt idx="0">
                  <c:v>724.83</c:v>
                </c:pt>
                <c:pt idx="1">
                  <c:v>702.14</c:v>
                </c:pt>
                <c:pt idx="2">
                  <c:v>342.69</c:v>
                </c:pt>
                <c:pt idx="3">
                  <c:v>1093.31</c:v>
                </c:pt>
                <c:pt idx="4">
                  <c:v>687.18</c:v>
                </c:pt>
                <c:pt idx="5">
                  <c:v>254.7</c:v>
                </c:pt>
                <c:pt idx="6">
                  <c:v>1026.54</c:v>
                </c:pt>
                <c:pt idx="7">
                  <c:v>718.31</c:v>
                </c:pt>
                <c:pt idx="8">
                  <c:v>266.47000000000003</c:v>
                </c:pt>
                <c:pt idx="9">
                  <c:v>1225.49</c:v>
                </c:pt>
                <c:pt idx="10">
                  <c:v>866.45</c:v>
                </c:pt>
                <c:pt idx="11">
                  <c:v>476.93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915584"/>
        <c:axId val="180914048"/>
      </c:lineChart>
      <c:dateAx>
        <c:axId val="1809025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80912512"/>
        <c:crosses val="autoZero"/>
        <c:auto val="1"/>
        <c:lblOffset val="100"/>
        <c:baseTimeUnit val="months"/>
      </c:dateAx>
      <c:valAx>
        <c:axId val="180912512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80902528"/>
        <c:crosses val="autoZero"/>
        <c:crossBetween val="between"/>
      </c:valAx>
      <c:valAx>
        <c:axId val="180914048"/>
        <c:scaling>
          <c:orientation val="minMax"/>
        </c:scaling>
        <c:delete val="0"/>
        <c:axPos val="r"/>
        <c:numFmt formatCode="_-* #,##0.00\ [$€-40C]_-;\-* #,##0.00\ [$€-40C]_-;_-* &quot;-&quot;??\ [$€-40C]_-;_-@_-" sourceLinked="1"/>
        <c:majorTickMark val="out"/>
        <c:minorTickMark val="none"/>
        <c:tickLblPos val="nextTo"/>
        <c:crossAx val="180915584"/>
        <c:crosses val="max"/>
        <c:crossBetween val="between"/>
      </c:valAx>
      <c:catAx>
        <c:axId val="18091558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091404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Factures'!$S$2</c:f>
              <c:strCache>
                <c:ptCount val="1"/>
                <c:pt idx="0">
                  <c:v>Montant / Kwh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Factures'!$S$12:$S$24</c:f>
              <c:numCache>
                <c:formatCode>_-* #,##0.0000\ [$€-40C]_-;\-* #,##0.0000\ [$€-40C]_-;_-* "-"??\ [$€-40C]_-;_-@_-</c:formatCode>
                <c:ptCount val="13"/>
                <c:pt idx="0">
                  <c:v>0.17303174982095967</c:v>
                </c:pt>
                <c:pt idx="1">
                  <c:v>0.18332637075718014</c:v>
                </c:pt>
                <c:pt idx="2">
                  <c:v>0.21351401869158879</c:v>
                </c:pt>
                <c:pt idx="3">
                  <c:v>0.18035466842626194</c:v>
                </c:pt>
                <c:pt idx="4">
                  <c:v>0.18811387900355869</c:v>
                </c:pt>
                <c:pt idx="5">
                  <c:v>0.22925292529252925</c:v>
                </c:pt>
                <c:pt idx="6">
                  <c:v>0.18974861367837337</c:v>
                </c:pt>
                <c:pt idx="7">
                  <c:v>0.22101846153846152</c:v>
                </c:pt>
                <c:pt idx="8">
                  <c:v>0.29090611353711793</c:v>
                </c:pt>
                <c:pt idx="9">
                  <c:v>0.23982191780821918</c:v>
                </c:pt>
                <c:pt idx="10">
                  <c:v>0.27042759051186022</c:v>
                </c:pt>
                <c:pt idx="11">
                  <c:v>0.29403822441430333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932992"/>
        <c:axId val="180934528"/>
      </c:lineChart>
      <c:dateAx>
        <c:axId val="180932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80934528"/>
        <c:crosses val="autoZero"/>
        <c:auto val="1"/>
        <c:lblOffset val="100"/>
        <c:baseTimeUnit val="months"/>
      </c:dateAx>
      <c:valAx>
        <c:axId val="180934528"/>
        <c:scaling>
          <c:orientation val="minMax"/>
        </c:scaling>
        <c:delete val="0"/>
        <c:axPos val="l"/>
        <c:majorGridlines/>
        <c:numFmt formatCode="_-* #,##0.0000\ [$€-40C]_-;\-* #,##0.0000\ [$€-40C]_-;_-* &quot;-&quot;??\ [$€-40C]_-;_-@_-" sourceLinked="1"/>
        <c:majorTickMark val="out"/>
        <c:minorTickMark val="none"/>
        <c:tickLblPos val="nextTo"/>
        <c:crossAx val="180932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Factures'!$X$2</c:f>
              <c:strCache>
                <c:ptCount val="1"/>
                <c:pt idx="0">
                  <c:v>Kwh / jour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Factures'!$X$12:$X$24</c:f>
              <c:numCache>
                <c:formatCode>_-* #,##0\ _€_-;\-* #,##0\ _€_-;_-* "-"??\ _€_-;_-@_-</c:formatCode>
                <c:ptCount val="13"/>
                <c:pt idx="0">
                  <c:v>68.672131147540981</c:v>
                </c:pt>
                <c:pt idx="1">
                  <c:v>45.822857142857146</c:v>
                </c:pt>
                <c:pt idx="2">
                  <c:v>31.867549668874172</c:v>
                </c:pt>
                <c:pt idx="3">
                  <c:v>37.436754176610975</c:v>
                </c:pt>
                <c:pt idx="4">
                  <c:v>35.161818181818184</c:v>
                </c:pt>
                <c:pt idx="5">
                  <c:v>30.522388059701491</c:v>
                </c:pt>
                <c:pt idx="6">
                  <c:v>32.692793931731984</c:v>
                </c:pt>
                <c:pt idx="7">
                  <c:v>32.094818081587654</c:v>
                </c:pt>
                <c:pt idx="8">
                  <c:v>29.179786200194364</c:v>
                </c:pt>
                <c:pt idx="9">
                  <c:v>30.5</c:v>
                </c:pt>
                <c:pt idx="10">
                  <c:v>30.11783189316575</c:v>
                </c:pt>
                <c:pt idx="11">
                  <c:v>28.646594982078852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082752"/>
        <c:axId val="181092736"/>
      </c:lineChart>
      <c:dateAx>
        <c:axId val="1810827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81092736"/>
        <c:crosses val="autoZero"/>
        <c:auto val="1"/>
        <c:lblOffset val="100"/>
        <c:baseTimeUnit val="months"/>
      </c:dateAx>
      <c:valAx>
        <c:axId val="181092736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8108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Factures'!$U$2</c:f>
              <c:strCache>
                <c:ptCount val="1"/>
                <c:pt idx="0">
                  <c:v>Ecart montant Kwh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Factures'!$U$12:$U$24</c:f>
              <c:numCache>
                <c:formatCode>0%</c:formatCode>
                <c:ptCount val="13"/>
                <c:pt idx="0">
                  <c:v>0</c:v>
                </c:pt>
                <c:pt idx="1">
                  <c:v>5.9495560478770929E-2</c:v>
                </c:pt>
                <c:pt idx="2">
                  <c:v>0.23395861691578071</c:v>
                </c:pt>
                <c:pt idx="3">
                  <c:v>4.2321242274203856E-2</c:v>
                </c:pt>
                <c:pt idx="4">
                  <c:v>8.7163940711487226E-2</c:v>
                </c:pt>
                <c:pt idx="5">
                  <c:v>0.32491826228274895</c:v>
                </c:pt>
                <c:pt idx="6">
                  <c:v>9.6611540221439446E-2</c:v>
                </c:pt>
                <c:pt idx="7">
                  <c:v>0.27732893973016465</c:v>
                </c:pt>
                <c:pt idx="8">
                  <c:v>0.68122968090033098</c:v>
                </c:pt>
                <c:pt idx="9">
                  <c:v>0.38599949463823247</c:v>
                </c:pt>
                <c:pt idx="10">
                  <c:v>0.56287843584589814</c:v>
                </c:pt>
                <c:pt idx="11">
                  <c:v>0.69933104599908469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109888"/>
        <c:axId val="181111424"/>
      </c:lineChart>
      <c:dateAx>
        <c:axId val="181109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81111424"/>
        <c:crosses val="autoZero"/>
        <c:auto val="1"/>
        <c:lblOffset val="100"/>
        <c:baseTimeUnit val="months"/>
      </c:dateAx>
      <c:valAx>
        <c:axId val="1811114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81109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Avec</a:t>
            </a:r>
            <a:r>
              <a:rPr lang="fr-FR" baseline="0"/>
              <a:t> </a:t>
            </a:r>
            <a:r>
              <a:rPr lang="fr-FR"/>
              <a:t>données BLAIS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Factures'!$Q$2</c:f>
              <c:strCache>
                <c:ptCount val="1"/>
                <c:pt idx="0">
                  <c:v>Kwh / jour</c:v>
                </c:pt>
              </c:strCache>
            </c:strRef>
          </c:tx>
          <c:marker>
            <c:symbol val="none"/>
          </c:marker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Factures'!$Q$3:$Q$24</c:f>
              <c:numCache>
                <c:formatCode>_-* #,##0\ _€_-;\-* #,##0\ _€_-;_-* "-"??\ _€_-;_-@_-</c:formatCode>
                <c:ptCount val="22"/>
                <c:pt idx="0">
                  <c:v>49.525423728813557</c:v>
                </c:pt>
                <c:pt idx="1">
                  <c:v>22.2</c:v>
                </c:pt>
                <c:pt idx="2">
                  <c:v>73.064516129032256</c:v>
                </c:pt>
                <c:pt idx="3">
                  <c:v>50.251968503937007</c:v>
                </c:pt>
                <c:pt idx="4">
                  <c:v>19.776859504132233</c:v>
                </c:pt>
                <c:pt idx="5">
                  <c:v>72.52459016393442</c:v>
                </c:pt>
                <c:pt idx="6">
                  <c:v>37.08943089430894</c:v>
                </c:pt>
                <c:pt idx="7">
                  <c:v>14.3109243697479</c:v>
                </c:pt>
                <c:pt idx="8">
                  <c:v>44.825396825396822</c:v>
                </c:pt>
                <c:pt idx="9">
                  <c:v>68.672131147540981</c:v>
                </c:pt>
                <c:pt idx="10">
                  <c:v>33.596491228070178</c:v>
                </c:pt>
                <c:pt idx="11">
                  <c:v>12.637795275590552</c:v>
                </c:pt>
                <c:pt idx="12">
                  <c:v>51.811965811965813</c:v>
                </c:pt>
                <c:pt idx="13">
                  <c:v>27.885496183206108</c:v>
                </c:pt>
                <c:pt idx="14">
                  <c:v>9.2583333333333329</c:v>
                </c:pt>
                <c:pt idx="15">
                  <c:v>44.710743801652896</c:v>
                </c:pt>
                <c:pt idx="16">
                  <c:v>28.017241379310345</c:v>
                </c:pt>
                <c:pt idx="17">
                  <c:v>7.5081967213114753</c:v>
                </c:pt>
                <c:pt idx="18">
                  <c:v>41.544715447154474</c:v>
                </c:pt>
                <c:pt idx="19">
                  <c:v>26.479338842975206</c:v>
                </c:pt>
                <c:pt idx="20">
                  <c:v>13.295081967213115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132672"/>
        <c:axId val="181134464"/>
      </c:lineChart>
      <c:lineChart>
        <c:grouping val="standard"/>
        <c:varyColors val="0"/>
        <c:ser>
          <c:idx val="1"/>
          <c:order val="1"/>
          <c:tx>
            <c:strRef>
              <c:f>'Suivi Factures'!$O$2</c:f>
              <c:strCache>
                <c:ptCount val="1"/>
                <c:pt idx="0">
                  <c:v>Année
glissante</c:v>
                </c:pt>
              </c:strCache>
            </c:strRef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Factures'!$O$3:$O$24</c:f>
              <c:numCache>
                <c:formatCode>_-* #,##0\ _€_-;\-* #,##0\ _€_-;_-* "-"??\ _€_-;_-@_-</c:formatCode>
                <c:ptCount val="22"/>
                <c:pt idx="2">
                  <c:v>17568</c:v>
                </c:pt>
                <c:pt idx="3">
                  <c:v>18106</c:v>
                </c:pt>
                <c:pt idx="4">
                  <c:v>17835</c:v>
                </c:pt>
                <c:pt idx="5">
                  <c:v>17623</c:v>
                </c:pt>
                <c:pt idx="6">
                  <c:v>15803</c:v>
                </c:pt>
                <c:pt idx="7">
                  <c:v>15113</c:v>
                </c:pt>
                <c:pt idx="9">
                  <c:v>13278</c:v>
                </c:pt>
                <c:pt idx="10">
                  <c:v>12546</c:v>
                </c:pt>
                <c:pt idx="11">
                  <c:v>12448</c:v>
                </c:pt>
                <c:pt idx="12">
                  <c:v>11497</c:v>
                </c:pt>
                <c:pt idx="13">
                  <c:v>11320</c:v>
                </c:pt>
                <c:pt idx="14">
                  <c:v>10826</c:v>
                </c:pt>
                <c:pt idx="15">
                  <c:v>10174</c:v>
                </c:pt>
                <c:pt idx="16">
                  <c:v>9771</c:v>
                </c:pt>
                <c:pt idx="17">
                  <c:v>9576</c:v>
                </c:pt>
                <c:pt idx="18">
                  <c:v>9276</c:v>
                </c:pt>
                <c:pt idx="19">
                  <c:v>9230</c:v>
                </c:pt>
                <c:pt idx="20">
                  <c:v>9936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94144"/>
        <c:axId val="181136000"/>
      </c:lineChart>
      <c:dateAx>
        <c:axId val="181132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81134464"/>
        <c:crosses val="autoZero"/>
        <c:auto val="1"/>
        <c:lblOffset val="100"/>
        <c:baseTimeUnit val="months"/>
      </c:dateAx>
      <c:valAx>
        <c:axId val="181134464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81132672"/>
        <c:crosses val="autoZero"/>
        <c:crossBetween val="between"/>
      </c:valAx>
      <c:valAx>
        <c:axId val="181136000"/>
        <c:scaling>
          <c:orientation val="minMax"/>
        </c:scaling>
        <c:delete val="0"/>
        <c:axPos val="r"/>
        <c:numFmt formatCode="_-* #,##0\ _€_-;\-* #,##0\ _€_-;_-* &quot;-&quot;??\ _€_-;_-@_-" sourceLinked="1"/>
        <c:majorTickMark val="out"/>
        <c:minorTickMark val="none"/>
        <c:tickLblPos val="nextTo"/>
        <c:crossAx val="181494144"/>
        <c:crosses val="max"/>
        <c:crossBetween val="between"/>
      </c:valAx>
      <c:dateAx>
        <c:axId val="18149414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1136000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  <c:pt idx="10">
                  <c:v>-0.4</c:v>
                </c:pt>
                <c:pt idx="11">
                  <c:v>-0.4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New'!$N$4:$N$42</c:f>
              <c:numCache>
                <c:formatCode>General</c:formatCode>
                <c:ptCount val="39"/>
                <c:pt idx="0">
                  <c:v>12.8</c:v>
                </c:pt>
                <c:pt idx="1">
                  <c:v>11.4</c:v>
                </c:pt>
                <c:pt idx="2">
                  <c:v>10.7</c:v>
                </c:pt>
                <c:pt idx="3">
                  <c:v>13.9</c:v>
                </c:pt>
                <c:pt idx="4">
                  <c:v>13</c:v>
                </c:pt>
                <c:pt idx="5">
                  <c:v>10.1</c:v>
                </c:pt>
                <c:pt idx="6">
                  <c:v>7.7</c:v>
                </c:pt>
                <c:pt idx="7">
                  <c:v>6.4</c:v>
                </c:pt>
                <c:pt idx="8">
                  <c:v>4.5999999999999996</c:v>
                </c:pt>
                <c:pt idx="9">
                  <c:v>5.4</c:v>
                </c:pt>
                <c:pt idx="10">
                  <c:v>5.4</c:v>
                </c:pt>
                <c:pt idx="11">
                  <c:v>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14560"/>
        <c:axId val="182120448"/>
      </c:lineChart>
      <c:lineChart>
        <c:grouping val="standard"/>
        <c:varyColors val="0"/>
        <c:ser>
          <c:idx val="0"/>
          <c:order val="2"/>
          <c:tx>
            <c:strRef>
              <c:f>'Suivi Conso New'!$AG$3</c:f>
              <c:strCache>
                <c:ptCount val="1"/>
                <c:pt idx="0">
                  <c:v>Conso HP + HC / an_x000d_
cumul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New'!$AG$4:$AG$42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23520"/>
        <c:axId val="182121984"/>
      </c:lineChart>
      <c:dateAx>
        <c:axId val="18211456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2120448"/>
        <c:crosses val="autoZero"/>
        <c:auto val="1"/>
        <c:lblOffset val="100"/>
        <c:baseTimeUnit val="days"/>
      </c:dateAx>
      <c:valAx>
        <c:axId val="182120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2114560"/>
        <c:crosses val="autoZero"/>
        <c:crossBetween val="between"/>
      </c:valAx>
      <c:valAx>
        <c:axId val="1821219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2123520"/>
        <c:crosses val="max"/>
        <c:crossBetween val="between"/>
      </c:valAx>
      <c:dateAx>
        <c:axId val="18212352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212198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545973397957726E-2"/>
          <c:y val="2.2648552578726402E-2"/>
          <c:w val="0.95772137948647484"/>
          <c:h val="0.83683894859054564"/>
        </c:manualLayout>
      </c:layout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3175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  <c:pt idx="10">
                  <c:v>-0.4</c:v>
                </c:pt>
                <c:pt idx="11">
                  <c:v>-0.4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New'!$N$4:$N$42</c:f>
              <c:numCache>
                <c:formatCode>General</c:formatCode>
                <c:ptCount val="39"/>
                <c:pt idx="0">
                  <c:v>12.8</c:v>
                </c:pt>
                <c:pt idx="1">
                  <c:v>11.4</c:v>
                </c:pt>
                <c:pt idx="2">
                  <c:v>10.7</c:v>
                </c:pt>
                <c:pt idx="3">
                  <c:v>13.9</c:v>
                </c:pt>
                <c:pt idx="4">
                  <c:v>13</c:v>
                </c:pt>
                <c:pt idx="5">
                  <c:v>10.1</c:v>
                </c:pt>
                <c:pt idx="6">
                  <c:v>7.7</c:v>
                </c:pt>
                <c:pt idx="7">
                  <c:v>6.4</c:v>
                </c:pt>
                <c:pt idx="8">
                  <c:v>4.5999999999999996</c:v>
                </c:pt>
                <c:pt idx="9">
                  <c:v>5.4</c:v>
                </c:pt>
                <c:pt idx="10">
                  <c:v>5.4</c:v>
                </c:pt>
                <c:pt idx="11">
                  <c:v>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47712"/>
        <c:axId val="182153600"/>
      </c:lineChart>
      <c:lineChart>
        <c:grouping val="standard"/>
        <c:varyColors val="0"/>
        <c:ser>
          <c:idx val="5"/>
          <c:order val="2"/>
          <c:tx>
            <c:strRef>
              <c:f>'Suivi Conso New'!$S$3</c:f>
              <c:strCache>
                <c:ptCount val="1"/>
                <c:pt idx="0">
                  <c:v>Diff HP
instantannée</c:v>
                </c:pt>
              </c:strCache>
            </c:strRef>
          </c:tx>
          <c:spPr>
            <a:ln w="3175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New'!$T$4:$T$42</c:f>
              <c:numCache>
                <c:formatCode>General</c:formatCode>
                <c:ptCount val="39"/>
                <c:pt idx="0">
                  <c:v>0</c:v>
                </c:pt>
                <c:pt idx="1">
                  <c:v>36.871972318457921</c:v>
                </c:pt>
                <c:pt idx="2">
                  <c:v>39.864956110522904</c:v>
                </c:pt>
                <c:pt idx="3">
                  <c:v>31.030303030303031</c:v>
                </c:pt>
                <c:pt idx="4">
                  <c:v>28.630338733544416</c:v>
                </c:pt>
                <c:pt idx="5">
                  <c:v>43.250883392154982</c:v>
                </c:pt>
                <c:pt idx="6">
                  <c:v>39.966358284303801</c:v>
                </c:pt>
                <c:pt idx="7">
                  <c:v>45.283018867858218</c:v>
                </c:pt>
                <c:pt idx="8">
                  <c:v>44.141689373388019</c:v>
                </c:pt>
                <c:pt idx="9">
                  <c:v>49.725158562196526</c:v>
                </c:pt>
                <c:pt idx="10">
                  <c:v>48.13370473546189</c:v>
                </c:pt>
                <c:pt idx="11">
                  <c:v>81.026653504311881</c:v>
                </c:pt>
                <c:pt idx="12">
                  <c:v>38.061674008888652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'Suivi Conso New'!$W$3</c:f>
              <c:strCache>
                <c:ptCount val="1"/>
                <c:pt idx="0">
                  <c:v>Diff HC
instantannée</c:v>
                </c:pt>
              </c:strCache>
            </c:strRef>
          </c:tx>
          <c:spPr>
            <a:ln w="3175"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New'!$X$4:$X$42</c:f>
              <c:numCache>
                <c:formatCode>General</c:formatCode>
                <c:ptCount val="39"/>
                <c:pt idx="0">
                  <c:v>0</c:v>
                </c:pt>
                <c:pt idx="1">
                  <c:v>23.916955017378111</c:v>
                </c:pt>
                <c:pt idx="2">
                  <c:v>20.418636056609291</c:v>
                </c:pt>
                <c:pt idx="3">
                  <c:v>14.545454545454545</c:v>
                </c:pt>
                <c:pt idx="4">
                  <c:v>7.4226804124004042</c:v>
                </c:pt>
                <c:pt idx="5">
                  <c:v>16.96113074202156</c:v>
                </c:pt>
                <c:pt idx="6">
                  <c:v>23.01093355762946</c:v>
                </c:pt>
                <c:pt idx="7">
                  <c:v>21.132075471667168</c:v>
                </c:pt>
                <c:pt idx="8">
                  <c:v>20.599455040914407</c:v>
                </c:pt>
                <c:pt idx="9">
                  <c:v>24.355179703932993</c:v>
                </c:pt>
                <c:pt idx="10">
                  <c:v>27.075208913697313</c:v>
                </c:pt>
                <c:pt idx="11">
                  <c:v>34.11648568602606</c:v>
                </c:pt>
                <c:pt idx="12">
                  <c:v>20.088105726913454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56672"/>
        <c:axId val="182155136"/>
      </c:lineChart>
      <c:dateAx>
        <c:axId val="18214771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2153600"/>
        <c:crosses val="autoZero"/>
        <c:auto val="1"/>
        <c:lblOffset val="100"/>
        <c:baseTimeUnit val="days"/>
      </c:dateAx>
      <c:valAx>
        <c:axId val="182153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2147712"/>
        <c:crosses val="autoZero"/>
        <c:crossBetween val="between"/>
      </c:valAx>
      <c:valAx>
        <c:axId val="1821551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2156672"/>
        <c:crosses val="max"/>
        <c:crossBetween val="between"/>
      </c:valAx>
      <c:dateAx>
        <c:axId val="18215667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2155136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129294698603388E-2"/>
          <c:y val="2.2806822776395771E-2"/>
          <c:w val="0.96199601754922293"/>
          <c:h val="0.96134893060038518"/>
        </c:manualLayout>
      </c:layout>
      <c:area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/>
              </a:solidFill>
            </a:ln>
          </c:spP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  <c:pt idx="10">
                  <c:v>-0.4</c:v>
                </c:pt>
                <c:pt idx="11">
                  <c:v>-0.4</c:v>
                </c:pt>
              </c:numCache>
            </c:numRef>
          </c:val>
        </c:ser>
        <c:ser>
          <c:idx val="2"/>
          <c:order val="1"/>
          <c:tx>
            <c:strRef>
              <c:f>'Suivi Conso New'!$Q$3</c:f>
              <c:strCache>
                <c:ptCount val="1"/>
                <c:pt idx="0">
                  <c:v>Max-Min</c:v>
                </c:pt>
              </c:strCache>
            </c:strRef>
          </c:tx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New'!#REF!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7904"/>
        <c:axId val="182189440"/>
      </c:areaChart>
      <c:lineChart>
        <c:grouping val="standard"/>
        <c:varyColors val="0"/>
        <c:ser>
          <c:idx val="3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New'!$AB$4:$AB$42</c:f>
              <c:numCache>
                <c:formatCode>General</c:formatCode>
                <c:ptCount val="39"/>
                <c:pt idx="0">
                  <c:v>0</c:v>
                </c:pt>
                <c:pt idx="1">
                  <c:v>2.5328719723265016</c:v>
                </c:pt>
                <c:pt idx="2">
                  <c:v>2.5118163402971749</c:v>
                </c:pt>
                <c:pt idx="3">
                  <c:v>1.898989898989899</c:v>
                </c:pt>
                <c:pt idx="4">
                  <c:v>1.5022091310810342</c:v>
                </c:pt>
                <c:pt idx="5">
                  <c:v>2.5088339222573559</c:v>
                </c:pt>
                <c:pt idx="6">
                  <c:v>2.6240538267472195</c:v>
                </c:pt>
                <c:pt idx="7">
                  <c:v>2.7672955974802242</c:v>
                </c:pt>
                <c:pt idx="8">
                  <c:v>2.6975476839292676</c:v>
                </c:pt>
                <c:pt idx="9">
                  <c:v>3.0866807610887301</c:v>
                </c:pt>
                <c:pt idx="10">
                  <c:v>3.1337047353816336</c:v>
                </c:pt>
                <c:pt idx="11">
                  <c:v>4.7976307995974148</c:v>
                </c:pt>
                <c:pt idx="12">
                  <c:v>2.4229074889917546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58304"/>
        <c:axId val="182256768"/>
      </c:lineChart>
      <c:dateAx>
        <c:axId val="18218790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2189440"/>
        <c:crosses val="autoZero"/>
        <c:auto val="1"/>
        <c:lblOffset val="100"/>
        <c:baseTimeUnit val="days"/>
      </c:dateAx>
      <c:valAx>
        <c:axId val="182189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2187904"/>
        <c:crosses val="autoZero"/>
        <c:crossBetween val="between"/>
      </c:valAx>
      <c:valAx>
        <c:axId val="1822567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2258304"/>
        <c:crosses val="max"/>
        <c:crossBetween val="between"/>
      </c:valAx>
      <c:dateAx>
        <c:axId val="18225830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2256768"/>
        <c:crosses val="autoZero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  <c:pt idx="10">
                  <c:v>-0.4</c:v>
                </c:pt>
                <c:pt idx="11">
                  <c:v>-0.4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New'!$N$4:$N$42</c:f>
              <c:numCache>
                <c:formatCode>General</c:formatCode>
                <c:ptCount val="39"/>
                <c:pt idx="0">
                  <c:v>12.8</c:v>
                </c:pt>
                <c:pt idx="1">
                  <c:v>11.4</c:v>
                </c:pt>
                <c:pt idx="2">
                  <c:v>10.7</c:v>
                </c:pt>
                <c:pt idx="3">
                  <c:v>13.9</c:v>
                </c:pt>
                <c:pt idx="4">
                  <c:v>13</c:v>
                </c:pt>
                <c:pt idx="5">
                  <c:v>10.1</c:v>
                </c:pt>
                <c:pt idx="6">
                  <c:v>7.7</c:v>
                </c:pt>
                <c:pt idx="7">
                  <c:v>6.4</c:v>
                </c:pt>
                <c:pt idx="8">
                  <c:v>4.5999999999999996</c:v>
                </c:pt>
                <c:pt idx="9">
                  <c:v>5.4</c:v>
                </c:pt>
                <c:pt idx="10">
                  <c:v>5.4</c:v>
                </c:pt>
                <c:pt idx="11">
                  <c:v>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334976"/>
        <c:axId val="182336512"/>
      </c:lineChart>
      <c:lineChart>
        <c:grouping val="standard"/>
        <c:varyColors val="0"/>
        <c:ser>
          <c:idx val="0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45640.020833333336</c:v>
                </c:pt>
                <c:pt idx="12">
                  <c:v>45640.966666666667</c:v>
                </c:pt>
              </c:numCache>
            </c:numRef>
          </c:cat>
          <c:val>
            <c:numRef>
              <c:f>'Suivi Conso New'!$AB$4:$AB$42</c:f>
              <c:numCache>
                <c:formatCode>General</c:formatCode>
                <c:ptCount val="39"/>
                <c:pt idx="0">
                  <c:v>0</c:v>
                </c:pt>
                <c:pt idx="1">
                  <c:v>2.5328719723265016</c:v>
                </c:pt>
                <c:pt idx="2">
                  <c:v>2.5118163402971749</c:v>
                </c:pt>
                <c:pt idx="3">
                  <c:v>1.898989898989899</c:v>
                </c:pt>
                <c:pt idx="4">
                  <c:v>1.5022091310810342</c:v>
                </c:pt>
                <c:pt idx="5">
                  <c:v>2.5088339222573559</c:v>
                </c:pt>
                <c:pt idx="6">
                  <c:v>2.6240538267472195</c:v>
                </c:pt>
                <c:pt idx="7">
                  <c:v>2.7672955974802242</c:v>
                </c:pt>
                <c:pt idx="8">
                  <c:v>2.6975476839292676</c:v>
                </c:pt>
                <c:pt idx="9">
                  <c:v>3.0866807610887301</c:v>
                </c:pt>
                <c:pt idx="10">
                  <c:v>3.1337047353816336</c:v>
                </c:pt>
                <c:pt idx="11">
                  <c:v>4.7976307995974148</c:v>
                </c:pt>
                <c:pt idx="12">
                  <c:v>2.4229074889917546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339840"/>
        <c:axId val="182338304"/>
      </c:lineChart>
      <c:dateAx>
        <c:axId val="18233497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2336512"/>
        <c:crosses val="autoZero"/>
        <c:auto val="1"/>
        <c:lblOffset val="100"/>
        <c:baseTimeUnit val="days"/>
      </c:dateAx>
      <c:valAx>
        <c:axId val="182336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2334976"/>
        <c:crosses val="autoZero"/>
        <c:crossBetween val="between"/>
      </c:valAx>
      <c:valAx>
        <c:axId val="182338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2339840"/>
        <c:crosses val="max"/>
        <c:crossBetween val="between"/>
      </c:valAx>
      <c:dateAx>
        <c:axId val="18233984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23383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année'!$F$1</c:f>
              <c:strCache>
                <c:ptCount val="1"/>
                <c:pt idx="0">
                  <c:v>Cumul 2021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année'!$F$2:$F$368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année'!$I$1</c:f>
              <c:strCache>
                <c:ptCount val="1"/>
                <c:pt idx="0">
                  <c:v>Cumul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année'!$I$2:$I$368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année'!$N$1</c:f>
              <c:strCache>
                <c:ptCount val="1"/>
                <c:pt idx="0">
                  <c:v>Cumul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année'!$N$2:$N$368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'Cumul par année'!$S$1</c:f>
              <c:strCache>
                <c:ptCount val="1"/>
                <c:pt idx="0">
                  <c:v>Cumul 2024</c:v>
                </c:pt>
              </c:strCache>
            </c:strRef>
          </c:tx>
          <c:marker>
            <c:symbol val="none"/>
          </c:marker>
          <c:val>
            <c:numRef>
              <c:f>'Cumul par année'!$S$2:$S$368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07872"/>
        <c:axId val="193809408"/>
      </c:lineChart>
      <c:catAx>
        <c:axId val="193807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93809408"/>
        <c:crosses val="autoZero"/>
        <c:auto val="1"/>
        <c:lblAlgn val="ctr"/>
        <c:lblOffset val="100"/>
        <c:noMultiLvlLbl val="0"/>
      </c:catAx>
      <c:valAx>
        <c:axId val="19380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807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année'!$K$1</c:f>
              <c:strCache>
                <c:ptCount val="1"/>
                <c:pt idx="0">
                  <c:v>Ecart 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année'!$K$2:$K$368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91744"/>
        <c:axId val="194193280"/>
      </c:lineChart>
      <c:catAx>
        <c:axId val="19419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4193280"/>
        <c:crosses val="autoZero"/>
        <c:auto val="1"/>
        <c:lblAlgn val="ctr"/>
        <c:lblOffset val="100"/>
        <c:noMultiLvlLbl val="0"/>
      </c:catAx>
      <c:valAx>
        <c:axId val="19419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191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201856"/>
        <c:axId val="194224128"/>
      </c:lineChart>
      <c:catAx>
        <c:axId val="19420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94224128"/>
        <c:crosses val="autoZero"/>
        <c:auto val="1"/>
        <c:lblAlgn val="ctr"/>
        <c:lblOffset val="100"/>
        <c:noMultiLvlLbl val="0"/>
      </c:catAx>
      <c:valAx>
        <c:axId val="19422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201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année'!$L$1</c:f>
              <c:strCache>
                <c:ptCount val="1"/>
                <c:pt idx="0">
                  <c:v>Ecart % 
2021 2022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année'!$L$2:$L$368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année'!$P$1</c:f>
              <c:strCache>
                <c:ptCount val="1"/>
                <c:pt idx="0">
                  <c:v>Ecart % 
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année'!$P$2:$P$368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année'!$U$1</c:f>
              <c:strCache>
                <c:ptCount val="1"/>
                <c:pt idx="0">
                  <c:v>Ecart % 
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année'!$U$2:$U$368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97312"/>
        <c:axId val="194398848"/>
      </c:lineChart>
      <c:catAx>
        <c:axId val="194397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4398848"/>
        <c:crosses val="autoZero"/>
        <c:auto val="1"/>
        <c:lblAlgn val="ctr"/>
        <c:lblOffset val="100"/>
        <c:noMultiLvlLbl val="0"/>
      </c:catAx>
      <c:valAx>
        <c:axId val="1943988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4397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'Moyenne par jour semaine'!$B$1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strRef>
              <c:f>'Moyenne par jour semaine'!$A$2:$A$8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'Moyenne par jour semaine'!$B$2:$B$8</c:f>
              <c:numCache>
                <c:formatCode>0.00</c:formatCode>
                <c:ptCount val="7"/>
                <c:pt idx="0">
                  <c:v>0</c:v>
                </c:pt>
                <c:pt idx="1">
                  <c:v>62.765035875069231</c:v>
                </c:pt>
                <c:pt idx="2">
                  <c:v>67.181965216630857</c:v>
                </c:pt>
                <c:pt idx="3">
                  <c:v>60.392335612458389</c:v>
                </c:pt>
                <c:pt idx="4">
                  <c:v>69.781979357361621</c:v>
                </c:pt>
                <c:pt idx="5">
                  <c:v>60.212014134176542</c:v>
                </c:pt>
                <c:pt idx="6">
                  <c:v>62.977291841933265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765376"/>
        <c:axId val="193766912"/>
      </c:barChart>
      <c:catAx>
        <c:axId val="19376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766912"/>
        <c:crosses val="autoZero"/>
        <c:auto val="1"/>
        <c:lblAlgn val="ctr"/>
        <c:lblOffset val="100"/>
        <c:noMultiLvlLbl val="0"/>
      </c:catAx>
      <c:valAx>
        <c:axId val="1937669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3765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jour mois en cours'!$C$1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jour mois en cours'!$C$2:$C$32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2"/>
          <c:order val="1"/>
          <c:tx>
            <c:strRef>
              <c:f>'Compare jour mois en cours'!$D$1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jour mois en cours'!$D$2:$D$32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3"/>
          <c:order val="2"/>
          <c:tx>
            <c:strRef>
              <c:f>'Compare jour mois en cours'!$E$1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jour mois en cours'!$E$2:$E$32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4"/>
          <c:order val="3"/>
          <c:tx>
            <c:strRef>
              <c:f>'Compare jour mois en cours'!$F$1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jour mois en cours'!$F$2:$F$32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60.788927335836036</c:v>
                </c:pt>
                <c:pt idx="4">
                  <c:v>60.283592167132191</c:v>
                </c:pt>
                <c:pt idx="5">
                  <c:v>45.575757575757578</c:v>
                </c:pt>
                <c:pt idx="6">
                  <c:v>36.053019145944823</c:v>
                </c:pt>
                <c:pt idx="7">
                  <c:v>60.212014134176542</c:v>
                </c:pt>
                <c:pt idx="8">
                  <c:v>62.977291841933265</c:v>
                </c:pt>
                <c:pt idx="9">
                  <c:v>66.415094339525382</c:v>
                </c:pt>
                <c:pt idx="10">
                  <c:v>64.741144414302426</c:v>
                </c:pt>
                <c:pt idx="11">
                  <c:v>74.080338266129516</c:v>
                </c:pt>
                <c:pt idx="12">
                  <c:v>75.2089136491592</c:v>
                </c:pt>
                <c:pt idx="13">
                  <c:v>115.14313919033795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39040"/>
        <c:axId val="194440576"/>
      </c:barChart>
      <c:catAx>
        <c:axId val="194439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94440576"/>
        <c:crosses val="autoZero"/>
        <c:auto val="1"/>
        <c:lblAlgn val="ctr"/>
        <c:lblOffset val="100"/>
        <c:noMultiLvlLbl val="0"/>
      </c:catAx>
      <c:valAx>
        <c:axId val="194440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43904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60.788927335836036</c:v>
                </c:pt>
                <c:pt idx="4">
                  <c:v>60.283592167132191</c:v>
                </c:pt>
                <c:pt idx="5">
                  <c:v>45.575757575757578</c:v>
                </c:pt>
                <c:pt idx="6">
                  <c:v>36.053019145944823</c:v>
                </c:pt>
                <c:pt idx="7">
                  <c:v>60.212014134176542</c:v>
                </c:pt>
                <c:pt idx="8">
                  <c:v>62.977291841933265</c:v>
                </c:pt>
                <c:pt idx="9">
                  <c:v>66.415094339525382</c:v>
                </c:pt>
                <c:pt idx="10">
                  <c:v>64.741144414302426</c:v>
                </c:pt>
                <c:pt idx="11">
                  <c:v>74.080338266129516</c:v>
                </c:pt>
                <c:pt idx="12">
                  <c:v>75.2089136491592</c:v>
                </c:pt>
                <c:pt idx="13">
                  <c:v>115.14313919033795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860160"/>
        <c:axId val="196542464"/>
      </c:barChart>
      <c:lineChart>
        <c:grouping val="standard"/>
        <c:varyColors val="0"/>
        <c:ser>
          <c:idx val="6"/>
          <c:order val="6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60160"/>
        <c:axId val="196542464"/>
      </c:lineChart>
      <c:lineChart>
        <c:grouping val="standard"/>
        <c:varyColors val="0"/>
        <c:ser>
          <c:idx val="1"/>
          <c:order val="0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3.4</c:v>
                </c:pt>
                <c:pt idx="3">
                  <c:v>-0.7</c:v>
                </c:pt>
                <c:pt idx="4">
                  <c:v>-0.6</c:v>
                </c:pt>
                <c:pt idx="5">
                  <c:v>6.4</c:v>
                </c:pt>
                <c:pt idx="6">
                  <c:v>6.5</c:v>
                </c:pt>
                <c:pt idx="7">
                  <c:v>5.9</c:v>
                </c:pt>
                <c:pt idx="8">
                  <c:v>5.8</c:v>
                </c:pt>
                <c:pt idx="9">
                  <c:v>3.8</c:v>
                </c:pt>
                <c:pt idx="10">
                  <c:v>2.6</c:v>
                </c:pt>
                <c:pt idx="11">
                  <c:v>-0.4</c:v>
                </c:pt>
                <c:pt idx="12">
                  <c:v>-0.4</c:v>
                </c:pt>
                <c:pt idx="13">
                  <c:v>-0.4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12.8</c:v>
                </c:pt>
                <c:pt idx="3">
                  <c:v>11.4</c:v>
                </c:pt>
                <c:pt idx="4">
                  <c:v>10.7</c:v>
                </c:pt>
                <c:pt idx="5">
                  <c:v>13.9</c:v>
                </c:pt>
                <c:pt idx="6">
                  <c:v>13</c:v>
                </c:pt>
                <c:pt idx="7">
                  <c:v>10.1</c:v>
                </c:pt>
                <c:pt idx="8">
                  <c:v>7.7</c:v>
                </c:pt>
                <c:pt idx="9">
                  <c:v>6.4</c:v>
                </c:pt>
                <c:pt idx="10">
                  <c:v>4.5999999999999996</c:v>
                </c:pt>
                <c:pt idx="11">
                  <c:v>5.4</c:v>
                </c:pt>
                <c:pt idx="12">
                  <c:v>5.4</c:v>
                </c:pt>
                <c:pt idx="13">
                  <c:v>5.4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45536"/>
        <c:axId val="196544000"/>
      </c:lineChart>
      <c:catAx>
        <c:axId val="196860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96542464"/>
        <c:crosses val="autoZero"/>
        <c:auto val="1"/>
        <c:lblAlgn val="ctr"/>
        <c:lblOffset val="100"/>
        <c:noMultiLvlLbl val="0"/>
      </c:catAx>
      <c:valAx>
        <c:axId val="19654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860160"/>
        <c:crosses val="autoZero"/>
        <c:crossBetween val="between"/>
      </c:valAx>
      <c:valAx>
        <c:axId val="1965440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545536"/>
        <c:crosses val="max"/>
        <c:crossBetween val="between"/>
      </c:valAx>
      <c:catAx>
        <c:axId val="196545536"/>
        <c:scaling>
          <c:orientation val="minMax"/>
        </c:scaling>
        <c:delete val="1"/>
        <c:axPos val="b"/>
        <c:majorTickMark val="out"/>
        <c:minorTickMark val="none"/>
        <c:tickLblPos val="nextTo"/>
        <c:crossAx val="196544000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2'!$D$3:$D$33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60.788927335836036</c:v>
                </c:pt>
                <c:pt idx="4">
                  <c:v>60.283592167132191</c:v>
                </c:pt>
                <c:pt idx="5">
                  <c:v>45.575757575757578</c:v>
                </c:pt>
                <c:pt idx="6">
                  <c:v>36.053019145944823</c:v>
                </c:pt>
                <c:pt idx="7">
                  <c:v>60.212014134176542</c:v>
                </c:pt>
                <c:pt idx="8">
                  <c:v>62.977291841933265</c:v>
                </c:pt>
                <c:pt idx="9">
                  <c:v>66.415094339525382</c:v>
                </c:pt>
                <c:pt idx="10">
                  <c:v>64.741144414302426</c:v>
                </c:pt>
                <c:pt idx="11">
                  <c:v>74.080338266129516</c:v>
                </c:pt>
                <c:pt idx="12">
                  <c:v>75.2089136491592</c:v>
                </c:pt>
                <c:pt idx="13">
                  <c:v>115.14313919033795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611456"/>
        <c:axId val="196621440"/>
      </c:barChart>
      <c:lineChart>
        <c:grouping val="standard"/>
        <c:varyColors val="0"/>
        <c:ser>
          <c:idx val="9"/>
          <c:order val="9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611456"/>
        <c:axId val="196621440"/>
      </c:lineChart>
      <c:lineChart>
        <c:grouping val="standard"/>
        <c:varyColors val="0"/>
        <c:ser>
          <c:idx val="1"/>
          <c:order val="0"/>
          <c:tx>
            <c:strRef>
              <c:f>'Compare jour mois en cours 2'!$B$2</c:f>
              <c:strCache>
                <c:ptCount val="1"/>
                <c:pt idx="0">
                  <c:v>2022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2'!$B$3:$B$33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2'!$C$2</c:f>
              <c:strCache>
                <c:ptCount val="1"/>
                <c:pt idx="0">
                  <c:v>2022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2'!$C$3:$C$33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3.4</c:v>
                </c:pt>
                <c:pt idx="3">
                  <c:v>-0.7</c:v>
                </c:pt>
                <c:pt idx="4">
                  <c:v>-0.6</c:v>
                </c:pt>
                <c:pt idx="5">
                  <c:v>6.4</c:v>
                </c:pt>
                <c:pt idx="6">
                  <c:v>6.5</c:v>
                </c:pt>
                <c:pt idx="7">
                  <c:v>5.9</c:v>
                </c:pt>
                <c:pt idx="8">
                  <c:v>5.8</c:v>
                </c:pt>
                <c:pt idx="9">
                  <c:v>3.8</c:v>
                </c:pt>
                <c:pt idx="10">
                  <c:v>2.6</c:v>
                </c:pt>
                <c:pt idx="11">
                  <c:v>-0.4</c:v>
                </c:pt>
                <c:pt idx="12">
                  <c:v>-0.4</c:v>
                </c:pt>
                <c:pt idx="13">
                  <c:v>-0.4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12.8</c:v>
                </c:pt>
                <c:pt idx="3">
                  <c:v>11.4</c:v>
                </c:pt>
                <c:pt idx="4">
                  <c:v>10.7</c:v>
                </c:pt>
                <c:pt idx="5">
                  <c:v>13.9</c:v>
                </c:pt>
                <c:pt idx="6">
                  <c:v>13</c:v>
                </c:pt>
                <c:pt idx="7">
                  <c:v>10.1</c:v>
                </c:pt>
                <c:pt idx="8">
                  <c:v>7.7</c:v>
                </c:pt>
                <c:pt idx="9">
                  <c:v>6.4</c:v>
                </c:pt>
                <c:pt idx="10">
                  <c:v>4.5999999999999996</c:v>
                </c:pt>
                <c:pt idx="11">
                  <c:v>5.4</c:v>
                </c:pt>
                <c:pt idx="12">
                  <c:v>5.4</c:v>
                </c:pt>
                <c:pt idx="13">
                  <c:v>5.4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632960"/>
        <c:axId val="196622976"/>
      </c:lineChart>
      <c:catAx>
        <c:axId val="196611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96621440"/>
        <c:crosses val="autoZero"/>
        <c:auto val="1"/>
        <c:lblAlgn val="ctr"/>
        <c:lblOffset val="100"/>
        <c:noMultiLvlLbl val="0"/>
      </c:catAx>
      <c:valAx>
        <c:axId val="19662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611456"/>
        <c:crosses val="autoZero"/>
        <c:crossBetween val="between"/>
      </c:valAx>
      <c:valAx>
        <c:axId val="1966229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632960"/>
        <c:crosses val="max"/>
        <c:crossBetween val="between"/>
      </c:valAx>
      <c:catAx>
        <c:axId val="196632960"/>
        <c:scaling>
          <c:orientation val="minMax"/>
        </c:scaling>
        <c:delete val="1"/>
        <c:axPos val="b"/>
        <c:majorTickMark val="out"/>
        <c:minorTickMark val="none"/>
        <c:tickLblPos val="nextTo"/>
        <c:crossAx val="196622976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mois'!$B$1</c:f>
              <c:strCache>
                <c:ptCount val="1"/>
                <c:pt idx="0">
                  <c:v>Min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mois'!$B$2:$B$13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-0.7</c:v>
                </c:pt>
              </c:numCache>
            </c:numRef>
          </c:val>
        </c:ser>
        <c:ser>
          <c:idx val="0"/>
          <c:order val="1"/>
          <c:tx>
            <c:strRef>
              <c:f>'Moy par mois'!$C$1</c:f>
              <c:strCache>
                <c:ptCount val="1"/>
                <c:pt idx="0">
                  <c:v>Moyenne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mois'!$C$2:$C$13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2.6583333333333337</c:v>
                </c:pt>
              </c:numCache>
            </c:numRef>
          </c:val>
        </c:ser>
        <c:ser>
          <c:idx val="2"/>
          <c:order val="2"/>
          <c:tx>
            <c:strRef>
              <c:f>'Moy par mois'!$D$1</c:f>
              <c:strCache>
                <c:ptCount val="1"/>
                <c:pt idx="0">
                  <c:v>Moyenne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mois'!$D$2:$D$13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8.9000000000000021</c:v>
                </c:pt>
              </c:numCache>
            </c:numRef>
          </c:val>
        </c:ser>
        <c:ser>
          <c:idx val="3"/>
          <c:order val="3"/>
          <c:tx>
            <c:strRef>
              <c:f>'Moy par mois'!$E$1</c:f>
              <c:strCache>
                <c:ptCount val="1"/>
                <c:pt idx="0">
                  <c:v>Max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mois'!$E$2:$E$13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13.9</c:v>
                </c:pt>
              </c:numCache>
            </c:numRef>
          </c:val>
        </c:ser>
        <c:ser>
          <c:idx val="4"/>
          <c:order val="4"/>
          <c:tx>
            <c:strRef>
              <c:f>'Moy par mois'!$F$1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mois'!$F$2:$F$13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741376"/>
        <c:axId val="196755456"/>
      </c:barChart>
      <c:catAx>
        <c:axId val="19674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755456"/>
        <c:crosses val="autoZero"/>
        <c:auto val="1"/>
        <c:lblAlgn val="ctr"/>
        <c:lblOffset val="100"/>
        <c:noMultiLvlLbl val="0"/>
      </c:catAx>
      <c:valAx>
        <c:axId val="1967554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674137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moy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moy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'Compare moy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moy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'Compare moy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moy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'Compare moy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moy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026560"/>
        <c:axId val="197028096"/>
      </c:barChart>
      <c:catAx>
        <c:axId val="197026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97028096"/>
        <c:crosses val="autoZero"/>
        <c:auto val="1"/>
        <c:lblAlgn val="ctr"/>
        <c:lblOffset val="100"/>
        <c:noMultiLvlLbl val="0"/>
      </c:catAx>
      <c:valAx>
        <c:axId val="19702809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9702656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 - inst'!$B$1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 - inst'!$B$2:$B$13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 - inst'!$C$1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 - inst'!$C$2:$C$13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 - inst'!$D$1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 - inst'!$D$2:$D$13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3"/>
          <c:tx>
            <c:strRef>
              <c:f>'Total par année mois - inst'!$E$1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 - inst'!$E$2:$E$13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348352"/>
        <c:axId val="197358336"/>
      </c:barChart>
      <c:catAx>
        <c:axId val="197348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7358336"/>
        <c:crosses val="autoZero"/>
        <c:auto val="1"/>
        <c:lblAlgn val="ctr"/>
        <c:lblOffset val="100"/>
        <c:noMultiLvlLbl val="0"/>
      </c:catAx>
      <c:valAx>
        <c:axId val="19735833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9734835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'Total par année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773824"/>
        <c:axId val="181775360"/>
      </c:barChart>
      <c:catAx>
        <c:axId val="181773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81775360"/>
        <c:crosses val="autoZero"/>
        <c:auto val="1"/>
        <c:lblAlgn val="ctr"/>
        <c:lblOffset val="100"/>
        <c:noMultiLvlLbl val="0"/>
      </c:catAx>
      <c:valAx>
        <c:axId val="18177536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81773824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année'!$B$1</c:f>
              <c:strCache>
                <c:ptCount val="1"/>
                <c:pt idx="0">
                  <c:v>Min
Température Min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-0.7</c:v>
                </c:pt>
              </c:numCache>
            </c:numRef>
          </c:val>
        </c:ser>
        <c:ser>
          <c:idx val="0"/>
          <c:order val="1"/>
          <c:tx>
            <c:strRef>
              <c:f>'Moy par année'!$C$1</c:f>
              <c:strCache>
                <c:ptCount val="1"/>
                <c:pt idx="0">
                  <c:v>Moyenne
Température Min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année'!$C$2:$C$5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2.6583333333333337</c:v>
                </c:pt>
              </c:numCache>
            </c:numRef>
          </c:val>
        </c:ser>
        <c:ser>
          <c:idx val="2"/>
          <c:order val="2"/>
          <c:tx>
            <c:strRef>
              <c:f>'Moy par année'!$D$1</c:f>
              <c:strCache>
                <c:ptCount val="1"/>
                <c:pt idx="0">
                  <c:v>Moyenne
Température Max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année'!$D$2:$D$5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8.9000000000000021</c:v>
                </c:pt>
              </c:numCache>
            </c:numRef>
          </c:val>
        </c:ser>
        <c:ser>
          <c:idx val="3"/>
          <c:order val="3"/>
          <c:tx>
            <c:strRef>
              <c:f>'Moy par année'!$E$1</c:f>
              <c:strCache>
                <c:ptCount val="1"/>
                <c:pt idx="0">
                  <c:v>Max
Température Max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année'!$E$2:$E$5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13.9</c:v>
                </c:pt>
              </c:numCache>
            </c:numRef>
          </c:val>
        </c:ser>
        <c:ser>
          <c:idx val="4"/>
          <c:order val="4"/>
          <c:tx>
            <c:strRef>
              <c:f>'Moy par année'!$F$1</c:f>
              <c:strCache>
                <c:ptCount val="1"/>
                <c:pt idx="0">
                  <c:v>Moyenne
Conso HP + HC / jour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année'!$F$2:$F$5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825664"/>
        <c:axId val="197827200"/>
      </c:barChart>
      <c:catAx>
        <c:axId val="19782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827200"/>
        <c:crosses val="autoZero"/>
        <c:auto val="1"/>
        <c:lblAlgn val="ctr"/>
        <c:lblOffset val="100"/>
        <c:noMultiLvlLbl val="0"/>
      </c:catAx>
      <c:valAx>
        <c:axId val="19782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825664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57149</xdr:rowOff>
    </xdr:from>
    <xdr:to>
      <xdr:col>9</xdr:col>
      <xdr:colOff>323850</xdr:colOff>
      <xdr:row>61</xdr:row>
      <xdr:rowOff>47624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490536</xdr:colOff>
      <xdr:row>35</xdr:row>
      <xdr:rowOff>38105</xdr:rowOff>
    </xdr:from>
    <xdr:to>
      <xdr:col>22</xdr:col>
      <xdr:colOff>95250</xdr:colOff>
      <xdr:row>61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61</xdr:row>
      <xdr:rowOff>85731</xdr:rowOff>
    </xdr:from>
    <xdr:to>
      <xdr:col>9</xdr:col>
      <xdr:colOff>323850</xdr:colOff>
      <xdr:row>88</xdr:row>
      <xdr:rowOff>38100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376237</xdr:colOff>
      <xdr:row>61</xdr:row>
      <xdr:rowOff>76205</xdr:rowOff>
    </xdr:from>
    <xdr:to>
      <xdr:col>16</xdr:col>
      <xdr:colOff>19050</xdr:colOff>
      <xdr:row>88</xdr:row>
      <xdr:rowOff>47625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80962</xdr:colOff>
      <xdr:row>61</xdr:row>
      <xdr:rowOff>76205</xdr:rowOff>
    </xdr:from>
    <xdr:to>
      <xdr:col>22</xdr:col>
      <xdr:colOff>123825</xdr:colOff>
      <xdr:row>88</xdr:row>
      <xdr:rowOff>38099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180975</xdr:colOff>
      <xdr:row>88</xdr:row>
      <xdr:rowOff>114300</xdr:rowOff>
    </xdr:from>
    <xdr:to>
      <xdr:col>20</xdr:col>
      <xdr:colOff>838200</xdr:colOff>
      <xdr:row>115</xdr:row>
      <xdr:rowOff>85720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23</xdr:col>
      <xdr:colOff>495300</xdr:colOff>
      <xdr:row>49</xdr:row>
      <xdr:rowOff>28575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495300</xdr:colOff>
      <xdr:row>20</xdr:row>
      <xdr:rowOff>152399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685799</xdr:colOff>
      <xdr:row>0</xdr:row>
      <xdr:rowOff>28576</xdr:rowOff>
    </xdr:from>
    <xdr:to>
      <xdr:col>33</xdr:col>
      <xdr:colOff>541799</xdr:colOff>
      <xdr:row>17</xdr:row>
      <xdr:rowOff>66675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685799</xdr:colOff>
      <xdr:row>17</xdr:row>
      <xdr:rowOff>133350</xdr:rowOff>
    </xdr:from>
    <xdr:to>
      <xdr:col>33</xdr:col>
      <xdr:colOff>541799</xdr:colOff>
      <xdr:row>36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685800</xdr:colOff>
      <xdr:row>36</xdr:row>
      <xdr:rowOff>66675</xdr:rowOff>
    </xdr:from>
    <xdr:to>
      <xdr:col>33</xdr:col>
      <xdr:colOff>541800</xdr:colOff>
      <xdr:row>104</xdr:row>
      <xdr:rowOff>142874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600075</xdr:colOff>
      <xdr:row>0</xdr:row>
      <xdr:rowOff>28575</xdr:rowOff>
    </xdr:from>
    <xdr:to>
      <xdr:col>44</xdr:col>
      <xdr:colOff>19050</xdr:colOff>
      <xdr:row>56</xdr:row>
      <xdr:rowOff>28575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38099</xdr:rowOff>
    </xdr:from>
    <xdr:to>
      <xdr:col>16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57148</xdr:rowOff>
    </xdr:from>
    <xdr:to>
      <xdr:col>24</xdr:col>
      <xdr:colOff>266700</xdr:colOff>
      <xdr:row>54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142874</xdr:rowOff>
    </xdr:from>
    <xdr:to>
      <xdr:col>21</xdr:col>
      <xdr:colOff>714375</xdr:colOff>
      <xdr:row>92</xdr:row>
      <xdr:rowOff>38099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93</xdr:row>
      <xdr:rowOff>9525</xdr:rowOff>
    </xdr:from>
    <xdr:to>
      <xdr:col>21</xdr:col>
      <xdr:colOff>714375</xdr:colOff>
      <xdr:row>148</xdr:row>
      <xdr:rowOff>47625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13</xdr:row>
      <xdr:rowOff>57151</xdr:rowOff>
    </xdr:from>
    <xdr:to>
      <xdr:col>21</xdr:col>
      <xdr:colOff>9525</xdr:colOff>
      <xdr:row>57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38099</xdr:rowOff>
    </xdr:from>
    <xdr:to>
      <xdr:col>21</xdr:col>
      <xdr:colOff>9525</xdr:colOff>
      <xdr:row>55</xdr:row>
      <xdr:rowOff>104775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SuiviConso" displayName="tabSuiviConso" ref="A3:AG16" totalsRowShown="0" headerRowDxfId="193" dataDxfId="192">
  <autoFilter ref="A3:AG16"/>
  <tableColumns count="33">
    <tableColumn id="1" name="Date" dataDxfId="191"/>
    <tableColumn id="24" name="Année" dataDxfId="190">
      <calculatedColumnFormula>YEAR(tabSuiviConso[[#This Row],[Date]])</calculatedColumnFormula>
    </tableColumn>
    <tableColumn id="27" name="Année last" dataDxfId="189">
      <calculatedColumnFormula>IF(B5&lt;&gt;tabSuiviConso[[#This Row],[Année]],tabSuiviConso[[#This Row],[Année]],"")</calculatedColumnFormula>
    </tableColumn>
    <tableColumn id="23" name="Mois" dataDxfId="188">
      <calculatedColumnFormula>MONTH(tabSuiviConso[[#This Row],[Date]])</calculatedColumnFormula>
    </tableColumn>
    <tableColumn id="28" name="Jour" dataDxfId="187">
      <calculatedColumnFormula>DAY(tabSuiviConso[[#This Row],[Date]])</calculatedColumnFormula>
    </tableColumn>
    <tableColumn id="30" name="Jour lettre" dataDxfId="186">
      <calculatedColumnFormula>TEXT(tabSuiviConso[[#This Row],[Date]]-1,"jjjj")</calculatedColumnFormula>
    </tableColumn>
    <tableColumn id="31" name="Mois Année" dataDxfId="185">
      <calculatedColumnFormula>tabSuiviConso[[#This Row],[Mois]]&amp;"/"&amp;tabSuiviConso[[#This Row],[Année]]</calculatedColumnFormula>
    </tableColumn>
    <tableColumn id="29" name="Jour Mois Année" dataDxfId="184">
      <calculatedColumnFormula>tabSuiviConso[[#This Row],[Jour]]&amp;"/"&amp;tabSuiviConso[[#This Row],[Mois]]&amp;"/"&amp;tabSuiviConso[[#This Row],[Année]]</calculatedColumnFormula>
    </tableColumn>
    <tableColumn id="7" name="Diff heure_x000a_instantannée" dataDxfId="183">
      <calculatedColumnFormula>IF(ISERROR(tabSuiviConso[[#This Row],[Date]]-A3),"",tabSuiviConso[[#This Row],[Date]]-A3)</calculatedColumnFormula>
    </tableColumn>
    <tableColumn id="10" name="Diff jour_x000a_Instantané" dataDxfId="182">
      <calculatedColumnFormula>IF(ISERROR(tabSuiviConso[[#This Row],[Date]]-A3),"",tabSuiviConso[[#This Row],[Date]]-A3)</calculatedColumnFormula>
    </tableColumn>
    <tableColumn id="9" name="Diff heure_x000d__x000a_Cumul" dataDxfId="181">
      <calculatedColumnFormula>tabSuiviConso[[#This Row],[Date]]-$A$4</calculatedColumnFormula>
    </tableColumn>
    <tableColumn id="8" name="Diff jour_x000d__x000a_Cumul" dataDxfId="180">
      <calculatedColumnFormula>tabSuiviConso[[#This Row],[Date]]-$A$4</calculatedColumnFormula>
    </tableColumn>
    <tableColumn id="3" name="Min" dataDxfId="179"/>
    <tableColumn id="4" name="Max" dataDxfId="178"/>
    <tableColumn id="48" name="Moyenne" dataDxfId="177"/>
    <tableColumn id="47" name="Médiane" dataDxfId="176"/>
    <tableColumn id="2" name="Max-Min" dataDxfId="175">
      <calculatedColumnFormula>tabSuiviConso[[#This Row],[Max]]-tabSuiviConso[[#This Row],[Min]]</calculatedColumnFormula>
    </tableColumn>
    <tableColumn id="5" name="Index HP_x000a_kWh" dataDxfId="174" dataCellStyle="Milliers"/>
    <tableColumn id="12" name="Diff HP_x000a_instantannée" dataDxfId="173">
      <calculatedColumnFormula>IF(ISERROR(tabSuiviConso[[#This Row],[Index HP
kWh]]-R3),"",tabSuiviConso[[#This Row],[Index HP
kWh]]-R3)</calculatedColumnFormula>
    </tableColumn>
    <tableColumn id="25" name="Diff HP / jour_x000a_instantannée" dataDxfId="172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71">
      <calculatedColumnFormula>SUM($S$4:S4)</calculatedColumnFormula>
    </tableColumn>
    <tableColumn id="6" name="Index HC_x000d__x000a_kWh" dataDxfId="170" dataCellStyle="Milliers"/>
    <tableColumn id="13" name="Diff HC_x000a_instantannée" dataDxfId="169">
      <calculatedColumnFormula>IF(ISERROR(tabSuiviConso[[#This Row],[Index HC_x000D_
kWh]]-V3),"",tabSuiviConso[[#This Row],[Index HC_x000D_
kWh]]-V3)</calculatedColumnFormula>
    </tableColumn>
    <tableColumn id="26" name="Diff HC / jour_x000a_instantannée" dataDxfId="168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167">
      <calculatedColumnFormula>SUM($W$4:W4)</calculatedColumnFormula>
    </tableColumn>
    <tableColumn id="15" name="HP + HC_x000a_instantanné" dataDxfId="166">
      <calculatedColumnFormula>tabSuiviConso[[#This Row],[Diff HP
instantannée]]+tabSuiviConso[[#This Row],[Diff HC
instantannée]]</calculatedColumnFormula>
    </tableColumn>
    <tableColumn id="16" name="HP + HC_x000a_cumul" dataDxfId="165">
      <calculatedColumnFormula>tabSuiviConso[[#This Row],[Diff HP
cumul]]+tabSuiviConso[[#This Row],[Diff HC
cumul]]</calculatedColumnFormula>
    </tableColumn>
    <tableColumn id="17" name=" HP + HC / heure_x000d__x000a_Instantané" dataDxfId="164">
      <calculatedColumnFormula>tabSuiviConso[[#This Row],[HP + HC
instantanné]]/(tabSuiviConso[[#This Row],[Diff jour
Instantané]]*24)</calculatedColumnFormula>
    </tableColumn>
    <tableColumn id="18" name="Conso HP + HC / jour_x000d__x000a_Instantané" dataDxfId="163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162">
      <calculatedColumnFormula>tabSuiviConso[[#This Row],[Conso HP + HC / jour_x000D_
Instantané]]*365</calculatedColumnFormula>
    </tableColumn>
    <tableColumn id="20" name=" HP + HC / heure_x000d__x000a_cumul" dataDxfId="161">
      <calculatedColumnFormula>tabSuiviConso[[#This Row],[HP + HC
cumul]]/(tabSuiviConso[[#This Row],[Diff jour_x000D_
Cumul]]*24)</calculatedColumnFormula>
    </tableColumn>
    <tableColumn id="21" name="Conso HP + HC / jour_x000d__x000a_cumul" dataDxfId="160">
      <calculatedColumnFormula>tabSuiviConso[[#This Row],[HP + HC
cumul]]/tabSuiviConso[[#This Row],[Diff jour_x000D_
Cumul]]</calculatedColumnFormula>
    </tableColumn>
    <tableColumn id="22" name="Conso HP + HC / an_x000d__x000a_cumul" dataDxfId="159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AG23" totalsRowShown="0" headerRowDxfId="158" dataDxfId="157" dataCellStyle="Milliers">
  <autoFilter ref="A2:AG23"/>
  <tableColumns count="33">
    <tableColumn id="1" name="Date Début" dataDxfId="156"/>
    <tableColumn id="2" name="Date Fin" dataDxfId="155"/>
    <tableColumn id="3" name="HP Début" dataDxfId="154" dataCellStyle="Milliers"/>
    <tableColumn id="4" name="HP Fin" dataDxfId="153" dataCellStyle="Milliers"/>
    <tableColumn id="5" name="HC Début" dataDxfId="152" dataCellStyle="Milliers"/>
    <tableColumn id="6" name="HC Fin" dataDxfId="151" dataCellStyle="Milliers"/>
    <tableColumn id="7" name="Montant TTC" dataDxfId="150"/>
    <tableColumn id="27" name="Ecart montant_x000a_période équivalente" dataDxfId="149" dataCellStyle="Pourcentage"/>
    <tableColumn id="8" name="Diff jour" dataDxfId="148" dataCellStyle="Milliers">
      <calculatedColumnFormula>Tableau3[Date Fin]-Tableau3[Date Début]</calculatedColumnFormula>
    </tableColumn>
    <tableColumn id="9" name="Montant / jour" dataDxfId="147" dataCellStyle="Milliers">
      <calculatedColumnFormula>Tableau3[Montant TTC]/Tableau3[Diff jour]</calculatedColumnFormula>
    </tableColumn>
    <tableColumn id="15" name="Projection € 365j" dataDxfId="146" dataCellStyle="Milliers">
      <calculatedColumnFormula>Tableau3[[#This Row],[Montant / jour]]*365</calculatedColumnFormula>
    </tableColumn>
    <tableColumn id="10" name="Diff HP" dataDxfId="145" dataCellStyle="Milliers">
      <calculatedColumnFormula>Tableau3[[#This Row],[HP Fin]]-Tableau3[[#This Row],[HP Début]]</calculatedColumnFormula>
    </tableColumn>
    <tableColumn id="11" name="Diff HC" dataDxfId="144" dataCellStyle="Milliers">
      <calculatedColumnFormula>Tableau3[[#This Row],[HC Fin]]-Tableau3[[#This Row],[HC Début]]</calculatedColumnFormula>
    </tableColumn>
    <tableColumn id="12" name="Total conso" dataDxfId="143" dataCellStyle="Milliers">
      <calculatedColumnFormula>Tableau3[[#This Row],[Diff HP]]+Tableau3[[#This Row],[Diff HC]]</calculatedColumnFormula>
    </tableColumn>
    <tableColumn id="33" name="Année_x000a_glissante" dataDxfId="142" dataCellStyle="Milliers">
      <calculatedColumnFormula>Tableau3[[#This Row],[Total conso]]+N2+N1</calculatedColumnFormula>
    </tableColumn>
    <tableColumn id="26" name="Ecart conso_x000a_période équivalente" dataDxfId="141" dataCellStyle="Pourcentage"/>
    <tableColumn id="14" name="Kwh / jour" dataDxfId="140" dataCellStyle="Milliers">
      <calculatedColumnFormula>Tableau3[[#This Row],[Total conso]]/Tableau3[[#This Row],[Diff jour]]</calculatedColumnFormula>
    </tableColumn>
    <tableColumn id="16" name="Projection Kwh 365j" dataDxfId="139" dataCellStyle="Milliers">
      <calculatedColumnFormula>Tableau3[[#This Row],[Kwh / jour]]*365</calculatedColumnFormula>
    </tableColumn>
    <tableColumn id="13" name="Montant / Kwh" dataDxfId="138" dataCellStyle="Milliers">
      <calculatedColumnFormula>Tableau3[[#This Row],[Montant TTC]]/Tableau3[[#This Row],[Total conso]]</calculatedColumnFormula>
    </tableColumn>
    <tableColumn id="28" name="Ecart montant Kwh_x000a_période équivalente" dataDxfId="137" dataCellStyle="Pourcentage"/>
    <tableColumn id="29" name="Ecart montant Kwh_x000a_depuis entrée" dataDxfId="136" dataCellStyle="Pourcentage">
      <calculatedColumnFormula>(Tableau3[[#This Row],[Montant / Kwh]]-$S$3)/$S$3</calculatedColumnFormula>
    </tableColumn>
    <tableColumn id="17" name="Total jour_x000a_depuis entrée" dataDxfId="135" dataCellStyle="Milliers">
      <calculatedColumnFormula>Tableau3[[#This Row],[Date Fin]]-$A$3</calculatedColumnFormula>
    </tableColumn>
    <tableColumn id="18" name="Total HP + HC_x000a_depuis entrée" dataDxfId="134" dataCellStyle="Milliers">
      <calculatedColumnFormula>(Tableau3[[#This Row],[HP Fin]]-$C$3)+(Tableau3[[#This Row],[HC Fin]]-$E$3)</calculatedColumnFormula>
    </tableColumn>
    <tableColumn id="19" name="Kwh / jour_x000a_depuis entrée" dataDxfId="133" dataCellStyle="Milliers">
      <calculatedColumnFormula>Tableau3[[#This Row],[Total HP + HC
depuis entrée]]/Tableau3[[#This Row],[Total jour
depuis entrée]]</calculatedColumnFormula>
    </tableColumn>
    <tableColumn id="20" name="Projection Kwh 365j_x000a_depuis entrée" dataDxfId="132" dataCellStyle="Milliers">
      <calculatedColumnFormula>Tableau3[[#This Row],[Kwh / jour
depuis entrée]]*365</calculatedColumnFormula>
    </tableColumn>
    <tableColumn id="21" name="Montant TTC_x000a_depuis entrée" dataDxfId="131" dataCellStyle="Milliers"/>
    <tableColumn id="25" name="Montant / Kwh_x000a_depuis entrée" dataDxfId="130" dataCellStyle="Milliers">
      <calculatedColumnFormula>Tableau3[[#This Row],[Montant TTC
depuis entrée]]/Tableau3[[#This Row],[Total HP + HC
depuis entrée]]</calculatedColumnFormula>
    </tableColumn>
    <tableColumn id="22" name="Montant TTC / jour_x000a_depuis entrée" dataDxfId="129" dataCellStyle="Milliers">
      <calculatedColumnFormula>Tableau3[[#This Row],[Montant TTC
depuis entrée]]/Tableau3[[#This Row],[Total jour
depuis entrée]]</calculatedColumnFormula>
    </tableColumn>
    <tableColumn id="23" name="Projection € 365j_x000a_depuis entrée" dataDxfId="128" dataCellStyle="Milliers">
      <calculatedColumnFormula>Tableau3[[#This Row],[Montant TTC / jour
depuis entrée]]*365</calculatedColumnFormula>
    </tableColumn>
    <tableColumn id="24" name="Projection € mois_x000a_depuis l'entrée" dataDxfId="127" dataCellStyle="Milliers">
      <calculatedColumnFormula>Tableau3[[#This Row],[Projection € 365j
depuis entrée]]/12</calculatedColumnFormula>
    </tableColumn>
    <tableColumn id="30" name="Montant TTC / jour_x000a_depuis entrée_x000a_(dernier prix)" dataDxfId="126" dataCellStyle="Milliers">
      <calculatedColumnFormula>Tableau3[[#This Row],[Kwh / jour
depuis entrée]]*Tableau3[[#This Row],[Montant / Kwh]]</calculatedColumnFormula>
    </tableColumn>
    <tableColumn id="31" name="Projection € 365j_x000a_depuis entrée_x000a_(dernier prix)" dataDxfId="125" dataCellStyle="Milliers">
      <calculatedColumnFormula>Tableau3[[#This Row],[Montant TTC / jour
depuis entrée
(dernier prix)]]*365</calculatedColumnFormula>
    </tableColumn>
    <tableColumn id="32" name="Projection € mois_x000a_depuis l'entrée_x000a_(dernier prix)" dataDxfId="124" dataCellStyle="Milliers">
      <calculatedColumnFormula>Tableau3[[#This Row],[Projection € 365j
depuis entrée
(dernier prix)]]/12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Q5" totalsRowShown="0" headerRowDxfId="123" dataDxfId="122">
  <autoFilter ref="A1:Q5"/>
  <tableColumns count="17">
    <tableColumn id="1" name="Année" dataDxfId="121"/>
    <tableColumn id="2" name="1er jour" dataDxfId="120">
      <calculatedColumnFormula>MATCH(Tableau4[[#This Row],[Année]],tabSuiviConso[Année],0)</calculatedColumnFormula>
    </tableColumn>
    <tableColumn id="11" name="Date 1er jour" dataDxfId="119">
      <calculatedColumnFormula>INDEX(tabSuiviConso[Date],Tableau4[[#This Row],[1er jour]],1)</calculatedColumnFormula>
    </tableColumn>
    <tableColumn id="3" name="Dernier jour" dataDxfId="118">
      <calculatedColumnFormula>MATCH(Tableau4[[#This Row],[Année]],tabSuiviConso[Année last],0)</calculatedColumnFormula>
    </tableColumn>
    <tableColumn id="12" name="Date Dernier jour" dataDxfId="117">
      <calculatedColumnFormula>INDEX(tabSuiviConso[Date],Tableau4[[#This Row],[Dernier jour]],1)</calculatedColumnFormula>
    </tableColumn>
    <tableColumn id="13" name="Ecart Date" dataDxfId="116">
      <calculatedColumnFormula>Tableau4[[#This Row],[Date Dernier jour]]-Tableau4[[#This Row],[Date 1er jour]]</calculatedColumnFormula>
    </tableColumn>
    <tableColumn id="4" name="Diff HP Cumul_x000a_1er jour" dataDxfId="115">
      <calculatedColumnFormula>INDEX(tabSuiviConso[Diff HP
cumul],Tableau4[[#This Row],[1er jour]],1)</calculatedColumnFormula>
    </tableColumn>
    <tableColumn id="5" name="Diff HP Cumul_x000a_Dernier jour" dataDxfId="114">
      <calculatedColumnFormula>INDEX(tabSuiviConso[Diff HP
cumul],Tableau4[[#This Row],[Dernier jour]],1)</calculatedColumnFormula>
    </tableColumn>
    <tableColumn id="6" name="Ecart HP" dataDxfId="113">
      <calculatedColumnFormula>Tableau4[[#This Row],[Diff HP Cumul
Dernier jour]]-Tableau4[[#This Row],[Diff HP Cumul
1er jour]]</calculatedColumnFormula>
    </tableColumn>
    <tableColumn id="7" name="Diff HC Cumul_x000a_1er jour" dataDxfId="112">
      <calculatedColumnFormula>INDEX(tabSuiviConso[Diff HC
cumul],Tableau4[[#This Row],[1er jour]],1)</calculatedColumnFormula>
    </tableColumn>
    <tableColumn id="8" name="Diff HC Cumul_x000a_Dernier jour" dataDxfId="111">
      <calculatedColumnFormula>INDEX(tabSuiviConso[Diff HC
cumul],Tableau4[[#This Row],[Dernier jour]],1)</calculatedColumnFormula>
    </tableColumn>
    <tableColumn id="9" name="Ecart HC" dataDxfId="110">
      <calculatedColumnFormula>Tableau4[[#This Row],[Diff HC Cumul
Dernier jour]]-Tableau4[[#This Row],[Diff HC Cumul
1er jour]]</calculatedColumnFormula>
    </tableColumn>
    <tableColumn id="10" name="Ecart HP + HC" dataDxfId="109">
      <calculatedColumnFormula>Tableau4[[#This Row],[Ecart HP]]+Tableau4[[#This Row],[Ecart HC]]</calculatedColumnFormula>
    </tableColumn>
    <tableColumn id="14" name="HP+HC/heure" dataDxfId="108">
      <calculatedColumnFormula>Tableau4[[#This Row],[Ecart HP + HC]]/(Tableau4[[#This Row],[Ecart Date]]*24)</calculatedColumnFormula>
    </tableColumn>
    <tableColumn id="15" name="HP+HC/jour" dataDxfId="107">
      <calculatedColumnFormula>Tableau4[[#This Row],[Ecart HP + HC]]/Tableau4[[#This Row],[Ecart Date]]</calculatedColumnFormula>
    </tableColumn>
    <tableColumn id="16" name="HP+HC/an" dataDxfId="106">
      <calculatedColumnFormula>Tableau4[[#This Row],[HP+HC/jour]]*365</calculatedColumnFormula>
    </tableColumn>
    <tableColumn id="17" name="Diff an-1" dataDxfId="105" dataCellStyle="Pourcentage">
      <calculatedColumnFormula>(Tableau4[[#This Row],[HP+HC/an]]-P1)/P1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au46" displayName="Tableau46" ref="A1:R5" totalsRowShown="0" headerRowDxfId="104" dataDxfId="103">
  <autoFilter ref="A1:R5"/>
  <tableColumns count="18">
    <tableColumn id="1" name="Année" dataDxfId="102"/>
    <tableColumn id="17" name="Année + 1" dataDxfId="101"/>
    <tableColumn id="2" name="1er jour" dataDxfId="100">
      <calculatedColumnFormula>MATCH(Tableau46[[#This Row],[Année]],tabSuiviConso[Année],0)</calculatedColumnFormula>
    </tableColumn>
    <tableColumn id="11" name="Date 1er jour" dataDxfId="99">
      <calculatedColumnFormula>INDEX(tabSuiviConso[Date],Tableau46[[#This Row],[1er jour]],1)</calculatedColumnFormula>
    </tableColumn>
    <tableColumn id="3" name="Dernier jour" dataDxfId="98">
      <calculatedColumnFormula>MATCH(Tableau46[[#This Row],[Année]],tabSuiviConso[Année last],0)</calculatedColumnFormula>
    </tableColumn>
    <tableColumn id="12" name="Date Dernier jour" dataDxfId="97">
      <calculatedColumnFormula>INDEX(tabSuiviConso[Date],Tableau46[[#This Row],[Dernier jour]],1)</calculatedColumnFormula>
    </tableColumn>
    <tableColumn id="13" name="Ecart Date" dataDxfId="96">
      <calculatedColumnFormula>Tableau46[[#This Row],[Date Dernier jour]]-Tableau46[[#This Row],[Date 1er jour]]</calculatedColumnFormula>
    </tableColumn>
    <tableColumn id="4" name="Diff HP Cumul_x000a_1er jour" dataDxfId="95">
      <calculatedColumnFormula>INDEX(tabSuiviConso[Diff HP
cumul],Tableau46[[#This Row],[1er jour]],1)</calculatedColumnFormula>
    </tableColumn>
    <tableColumn id="5" name="Diff HP Cumul_x000a_Dernier jour" dataDxfId="94">
      <calculatedColumnFormula>INDEX(tabSuiviConso[Diff HP
cumul],Tableau46[[#This Row],[Dernier jour]],1)</calculatedColumnFormula>
    </tableColumn>
    <tableColumn id="6" name="Ecart HP" dataDxfId="93">
      <calculatedColumnFormula>Tableau46[[#This Row],[Diff HP Cumul
Dernier jour]]-Tableau46[[#This Row],[Diff HP Cumul
1er jour]]</calculatedColumnFormula>
    </tableColumn>
    <tableColumn id="7" name="Diff HC Cumul_x000a_1er jour" dataDxfId="92">
      <calculatedColumnFormula>INDEX(tabSuiviConso[Diff HC
cumul],Tableau46[[#This Row],[1er jour]],1)</calculatedColumnFormula>
    </tableColumn>
    <tableColumn id="8" name="Diff HC Cumul_x000a_Dernier jour" dataDxfId="91">
      <calculatedColumnFormula>INDEX(tabSuiviConso[Diff HC
cumul],Tableau46[[#This Row],[Dernier jour]],1)</calculatedColumnFormula>
    </tableColumn>
    <tableColumn id="9" name="Ecart HC" dataDxfId="90">
      <calculatedColumnFormula>Tableau46[[#This Row],[Diff HC Cumul
Dernier jour]]-Tableau46[[#This Row],[Diff HC Cumul
1er jour]]</calculatedColumnFormula>
    </tableColumn>
    <tableColumn id="10" name="Ecart HP + HC" dataDxfId="89">
      <calculatedColumnFormula>Tableau46[[#This Row],[Ecart HP]]+Tableau46[[#This Row],[Ecart HC]]</calculatedColumnFormula>
    </tableColumn>
    <tableColumn id="14" name="HP+HC/heure" dataDxfId="88">
      <calculatedColumnFormula>Tableau46[[#This Row],[Ecart HP + HC]]/(Tableau46[[#This Row],[Ecart Date]]*24)</calculatedColumnFormula>
    </tableColumn>
    <tableColumn id="15" name="HP+HC/jour" dataDxfId="87">
      <calculatedColumnFormula>Tableau46[[#This Row],[Ecart HP + HC]]/Tableau46[[#This Row],[Ecart Date]]</calculatedColumnFormula>
    </tableColumn>
    <tableColumn id="16" name="HP+HC/an" dataDxfId="86">
      <calculatedColumnFormula>Tableau46[[#This Row],[HP+HC/jour]]*365</calculatedColumnFormula>
    </tableColumn>
    <tableColumn id="18" name="Diff an-1" dataDxfId="85" dataCellStyle="Pourcentage">
      <calculatedColumnFormula>(Tableau46[[#This Row],[HP+HC/an]]-Q1)/Q1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A1:U368" totalsRowShown="0" headerRowDxfId="84" dataDxfId="83">
  <autoFilter ref="A1:U368"/>
  <tableColumns count="21">
    <tableColumn id="1" name="Mois" dataDxfId="82"/>
    <tableColumn id="2" name="Jour" dataDxfId="81"/>
    <tableColumn id="3" name="Jours Mois" dataDxfId="80">
      <calculatedColumnFormula>Tableau6[Jour]&amp;"/"&amp;Tableau6[Mois]</calculatedColumnFormula>
    </tableColumn>
    <tableColumn id="9" name="Position 2021" dataDxfId="79">
      <calculatedColumnFormula>MATCH(Tableau6[Jours Mois]&amp;"/"&amp;Tableau6[[#Headers],[2021]],tabSuiviConso[Jour Mois Année],0)</calculatedColumnFormula>
    </tableColumn>
    <tableColumn id="5" name="2021" dataDxfId="78">
      <calculatedColumnFormula>IF(ISNA(Tableau6[[#This Row],[Position 2021]]),"",INDEX(tabSuiviConso[HP + HC
cumul],Tableau6[[#This Row],[Position 2021]],1))</calculatedColumnFormula>
    </tableColumn>
    <tableColumn id="12" name="Cumul 2021" dataDxfId="77">
      <calculatedColumnFormula>IF(ISNA(Tableau6[[#This Row],[Position 2021]]),Tableau6[[#This Row],[Position 2021]],Tableau6[[#This Row],[2021]]-E$2)</calculatedColumnFormula>
    </tableColumn>
    <tableColumn id="10" name="Position 2022" dataDxfId="76">
      <calculatedColumnFormula>MATCH(Tableau6[Jours Mois]&amp;"/"&amp;Tableau6[[#Headers],[2022]],tabSuiviConso[Jour Mois Année],0)</calculatedColumnFormula>
    </tableColumn>
    <tableColumn id="6" name="2022" dataDxfId="75">
      <calculatedColumnFormula>IF(ISNA(Tableau6[[#This Row],[Position 2022]]),"",INDEX(tabSuiviConso[HP + HC
cumul],Tableau6[[#This Row],[Position 2022]],1))</calculatedColumnFormula>
    </tableColumn>
    <tableColumn id="13" name="Cumul 2022" dataDxfId="74">
      <calculatedColumnFormula>IF(ISNA(Tableau6[[#This Row],[Position 2022]]),Tableau6[[#This Row],[Position 2022]],Tableau6[[#This Row],[2022]]-H$2)</calculatedColumnFormula>
    </tableColumn>
    <tableColumn id="11" name="Position 2023" dataDxfId="73">
      <calculatedColumnFormula>MATCH(Tableau6[Jours Mois]&amp;"/"&amp;Tableau6[[#Headers],[2023]],tabSuiviConso[Jour Mois Année],0)</calculatedColumnFormula>
    </tableColumn>
    <tableColumn id="4" name="Ecart 2021 2022" dataDxfId="72">
      <calculatedColumnFormula>Tableau6[[#This Row],[Cumul 2022]]-Tableau6[[#This Row],[Cumul 2021]]</calculatedColumnFormula>
    </tableColumn>
    <tableColumn id="21" name="Ecart % _x000a_2021 2022" dataDxfId="71">
      <calculatedColumnFormula>Tableau6[[#This Row],[Ecart 2021 2022]]/Tableau6[[#This Row],[Cumul 2021]]</calculatedColumnFormula>
    </tableColumn>
    <tableColumn id="7" name="2023" dataDxfId="70">
      <calculatedColumnFormula>IF(ISNA(Tableau6[[#This Row],[Position 2023]]),"",INDEX(tabSuiviConso[HP + HC
cumul],Tableau6[[#This Row],[Position 2023]],1))</calculatedColumnFormula>
    </tableColumn>
    <tableColumn id="14" name="Cumul 2023" dataDxfId="69">
      <calculatedColumnFormula>IF(ISNA(Tableau6[[#This Row],[Position 2023]]),Tableau6[[#This Row],[Position 2023]],Tableau6[[#This Row],[2023]]-M$2)</calculatedColumnFormula>
    </tableColumn>
    <tableColumn id="8" name="Ecart 2022 2023" dataDxfId="68">
      <calculatedColumnFormula>Tableau6[[#This Row],[Cumul 2023]]-Tableau6[[#This Row],[Cumul 2022]]</calculatedColumnFormula>
    </tableColumn>
    <tableColumn id="19" name="Ecart % _x000a_2022 2023" dataDxfId="67" dataCellStyle="Pourcentage">
      <calculatedColumnFormula>Tableau6[[#This Row],[Ecart 2022 2023]]/Tableau6[[#This Row],[Cumul 2022]]</calculatedColumnFormula>
    </tableColumn>
    <tableColumn id="18" name="Position 2024" dataDxfId="66"/>
    <tableColumn id="15" name="2024" dataDxfId="65">
      <calculatedColumnFormula>IF(ISNA(Tableau6[[#This Row],[Position 2024]]),"",INDEX(tabSuiviConso[HP + HC
cumul],Tableau6[[#This Row],[Position 2024]],1))</calculatedColumnFormula>
    </tableColumn>
    <tableColumn id="16" name="Cumul 2024" dataDxfId="64">
      <calculatedColumnFormula>IF(ISNA(Tableau6[[#This Row],[Position 2024]]),Tableau6[[#This Row],[Position 2024]],Tableau6[[#This Row],[2024]]-R$2)</calculatedColumnFormula>
    </tableColumn>
    <tableColumn id="17" name="Ecart 2023 2024" dataDxfId="63">
      <calculatedColumnFormula>Tableau6[[#This Row],[Cumul 2024]]-Tableau6[[#This Row],[Cumul 2023]]</calculatedColumnFormula>
    </tableColumn>
    <tableColumn id="22" name="Ecart % _x000a_2023 2024" dataDxfId="62">
      <calculatedColumnFormula>Tableau6[[#This Row],[Ecart 2023 2024]]/Tableau6[[#This Row],[Cumul 2023]]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Tableau791011" displayName="Tableau791011" ref="A1:B8" totalsRowShown="0" headerRowDxfId="61" dataDxfId="60">
  <autoFilter ref="A1:B8"/>
  <tableColumns count="2">
    <tableColumn id="2" name="Jour" dataDxfId="59"/>
    <tableColumn id="3" name="Moyenne_x000a_Conso HP + HC / jour" dataDxfId="58" dataCellStyle="Milliers">
      <calculatedColumnFormula>AVERAGEIF(tabSuiviConso[Jour lettre],Tableau791011[[#This Row],[Jour]],tabSuiviConso[Conso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1:F32" totalsRowShown="0" headerRowDxfId="57" dataDxfId="56">
  <autoFilter ref="A1:F32"/>
  <tableColumns count="6">
    <tableColumn id="1" name="Jour" dataDxfId="55"/>
    <tableColumn id="2" name="Mois" dataDxfId="54"/>
    <tableColumn id="3" name="2021" dataDxfId="53">
      <calculatedColumnFormula>INDEX(tabSuiviConso[Conso HP + HC / jour_x000D_
Instantané],MATCH(Tableau7[[#This Row],[Jour]]&amp;"/"&amp;Tableau7[[#This Row],[Mois]]&amp;"/"&amp;Tableau7[[#Headers],[2021]],tabSuiviConso[Jour Mois Année],0),1)</calculatedColumnFormula>
    </tableColumn>
    <tableColumn id="4" name="2022" dataDxfId="52">
      <calculatedColumnFormula>INDEX(tabSuiviConso[Conso HP + HC / jour_x000D_
Instantané],MATCH(Tableau7[[#This Row],[Jour]]&amp;"/"&amp;Tableau7[[#This Row],[Mois]]&amp;"/"&amp;Tableau7[[#Headers],[2022]],tabSuiviConso[Jour Mois Année],0),1)</calculatedColumnFormula>
    </tableColumn>
    <tableColumn id="5" name="2023" dataDxfId="51">
      <calculatedColumnFormula>INDEX(tabSuiviConso[Conso HP + HC / jour_x000D_
Instantané],MATCH(Tableau7[[#This Row],[Jour]]&amp;"/"&amp;Tableau7[[#This Row],[Mois]]&amp;"/"&amp;Tableau7[[#Headers],[2023]],tabSuiviConso[Jour Mois Année],0),1)</calculatedColumnFormula>
    </tableColumn>
    <tableColumn id="6" name="2024" dataDxfId="50">
      <calculatedColumnFormula>INDEX(tabSuiviConso[Conso HP + HC / jour_x000D_
Instantané],MATCH(Tableau7[[#This Row],[Jour]]&amp;"/"&amp;Tableau7[[#This Row],[Mois]]&amp;"/"&amp;Tableau7[[#Headers],[2024]],tabSuiviConso[Jour Mois Année],0),1)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au72" displayName="Tableau72" ref="A2:K33" totalsRowShown="0" headerRowDxfId="49" dataDxfId="48">
  <autoFilter ref="A2:K33"/>
  <tableColumns count="11">
    <tableColumn id="1" name="Jour" dataDxfId="47"/>
    <tableColumn id="11" name="2022 Min" dataDxfId="46">
      <calculatedColumnFormula>INDEX(tabSuiviConso[Min],MATCH(Tableau72[[#This Row],[Jour]]&amp;"/"&amp;$A$1&amp;"/"&amp;B$1,tabSuiviConso[Jour Mois Année],0),1)</calculatedColumnFormula>
    </tableColumn>
    <tableColumn id="10" name="2022 Max" dataDxfId="45">
      <calculatedColumnFormula>INDEX(tabSuiviConso[Max],MATCH(Tableau72[[#This Row],[Jour]]&amp;"/"&amp;$A$1&amp;"/"&amp;C$1,tabSuiviConso[Jour Mois Année],0),1)</calculatedColumnFormula>
    </tableColumn>
    <tableColumn id="2" name="2022" dataDxfId="44">
      <calculatedColumnFormula>INDEX(tabSuiviConso[Conso HP + HC / jour_x000D_
Instantané],MATCH(Tableau72[[#This Row],[Jour]]&amp;"/"&amp;$A$1&amp;"/"&amp;D$1,tabSuiviConso[Jour Mois Année],0),1)</calculatedColumnFormula>
    </tableColumn>
    <tableColumn id="3" name="2023 Min" dataDxfId="43">
      <calculatedColumnFormula>INDEX(tabSuiviConso[Min],MATCH(Tableau72[[#This Row],[Jour]]&amp;"/"&amp;$A$1&amp;"/"&amp;E$1,tabSuiviConso[Jour Mois Année],0),1)</calculatedColumnFormula>
    </tableColumn>
    <tableColumn id="4" name="2023 Max" dataDxfId="42">
      <calculatedColumnFormula>INDEX(tabSuiviConso[Max],MATCH(Tableau72[[#This Row],[Jour]]&amp;"/"&amp;$A$1&amp;"/"&amp;F$1,tabSuiviConso[Jour Mois Année],0),1)</calculatedColumnFormula>
    </tableColumn>
    <tableColumn id="5" name="2023" dataDxfId="41">
      <calculatedColumnFormula>INDEX(tabSuiviConso[Conso HP + HC / jour_x000D_
Instantané],MATCH(Tableau72[[#This Row],[Jour]]&amp;"/"&amp;$A$1&amp;"/"&amp;G$1,tabSuiviConso[Jour Mois Année],0),1)</calculatedColumnFormula>
    </tableColumn>
    <tableColumn id="8" name="2024 Min" dataDxfId="40">
      <calculatedColumnFormula>INDEX(tabSuiviConso[Min],MATCH(Tableau72[[#This Row],[Jour]]&amp;"/"&amp;$A$1&amp;"/"&amp;H$1,tabSuiviConso[Jour Mois Année],0),1)</calculatedColumnFormula>
    </tableColumn>
    <tableColumn id="7" name="2024 Max" dataDxfId="39">
      <calculatedColumnFormula>INDEX(tabSuiviConso[Max],MATCH(Tableau72[[#This Row],[Jour]]&amp;"/"&amp;$A$1&amp;"/"&amp;I$1,tabSuiviConso[Jour Mois Année],0),1)</calculatedColumnFormula>
    </tableColumn>
    <tableColumn id="6" name="2024" dataDxfId="38">
      <calculatedColumnFormula>INDEX(tabSuiviConso[Conso HP + HC / jour_x000D_
Instantané],MATCH(Tableau72[[#This Row],[Jour]]&amp;"/"&amp;$A$1&amp;"/"&amp;J$1,tabSuiviConso[Jour Mois Année],0),1)</calculatedColumnFormula>
    </tableColumn>
    <tableColumn id="9" name="Ecart" dataDxfId="37">
      <calculatedColumnFormula>Tableau72[[#This Row],[2024]]-Tableau72[[#This Row],[2023]]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au791012" displayName="Tableau791012" ref="A1:F13" totalsRowShown="0" headerRowDxfId="36" dataDxfId="35">
  <autoFilter ref="A1:F13"/>
  <tableColumns count="6">
    <tableColumn id="2" name="Mois" dataDxfId="34"/>
    <tableColumn id="5" name="Min_x000a_Température Min" dataDxfId="33">
      <calculatedColumnFormula array="1">MIN(IF(tabSuiviConso[Mois]=Tableau791012[[#This Row],[Mois]],tabSuiviConso[Min]))</calculatedColumnFormula>
    </tableColumn>
    <tableColumn id="4" name="Moyenne_x000a_Température Min" dataDxfId="32">
      <calculatedColumnFormula>AVERAGEIF(tabSuiviConso[Mois],Tableau791012[[#This Row],[Mois]],tabSuiviConso[Min])</calculatedColumnFormula>
    </tableColumn>
    <tableColumn id="1" name="Moyenne_x000a_Température Max" dataDxfId="31">
      <calculatedColumnFormula>AVERAGEIF(tabSuiviConso[Mois],Tableau791012[[#This Row],[Mois]],tabSuiviConso[Max])</calculatedColumnFormula>
    </tableColumn>
    <tableColumn id="7" name="Max_x000a_Température Max" dataDxfId="30">
      <calculatedColumnFormula array="1">MAX(IF(tabSuiviConso[Mois]=Tableau791012[[#This Row],[Mois]],tabSuiviConso[Max]))</calculatedColumnFormula>
    </tableColumn>
    <tableColumn id="3" name="Moyenne_x000a_Conso HP + HC / jour" dataDxfId="29" dataCellStyle="Milliers">
      <calculatedColumnFormula>AVERAGEIF(tabSuiviConso[Mois],Tableau791012[[#This Row],[Mois]],tabSuiviConso[Conso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au79" displayName="Tableau79" ref="A1:E13" totalsRowShown="0" headerRowDxfId="28" dataDxfId="27">
  <autoFilter ref="A1:E13"/>
  <tableColumns count="5">
    <tableColumn id="2" name="Mois" dataDxfId="26"/>
    <tableColumn id="3" name="2021" dataDxfId="25" dataCellStyle="Milliers">
      <calculatedColumnFormula>AVERAGEIF(tabSuiviConso[Mois Année],Tableau79[[#This Row],[Mois]]&amp;"/"&amp;Tableau79[[#Headers],[2021]],tabSuiviConso[Conso HP + HC / jour_x000D_
Instantané])</calculatedColumnFormula>
    </tableColumn>
    <tableColumn id="4" name="2022" dataDxfId="24" dataCellStyle="Milliers">
      <calculatedColumnFormula>AVERAGEIF(tabSuiviConso[Mois Année],Tableau79[[#This Row],[Mois]]&amp;"/"&amp;Tableau79[[#Headers],[2022]],tabSuiviConso[Conso HP + HC / jour_x000D_
Instantané])</calculatedColumnFormula>
    </tableColumn>
    <tableColumn id="5" name="2023" dataDxfId="23" dataCellStyle="Milliers">
      <calculatedColumnFormula>AVERAGEIF(tabSuiviConso[Mois Année],Tableau79[[#This Row],[Mois]]&amp;"/"&amp;Tableau79[[#Headers],[2023]],tabSuiviConso[Conso HP + HC / jour_x000D_
Instantané])</calculatedColumnFormula>
    </tableColumn>
    <tableColumn id="6" name="2024" dataDxfId="22" dataCellStyle="Milliers">
      <calculatedColumnFormula>AVERAGEIF(tabSuiviConso[Mois Année],Tableau79[[#This Row],[Mois]]&amp;"/"&amp;Tableau79[[#Headers],[2024]],tabSuiviConso[Conso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au791314" displayName="Tableau791314" ref="A1:E13" totalsRowShown="0" headerRowDxfId="21" dataDxfId="20">
  <autoFilter ref="A1:E13"/>
  <tableColumns count="5">
    <tableColumn id="2" name="Mois" dataDxfId="19"/>
    <tableColumn id="3" name="2021" dataDxfId="18" dataCellStyle="Milliers">
      <calculatedColumnFormula>SUMIF(tabSuiviConso[Mois Année],Tableau791314[[#This Row],[Mois]]&amp;"/"&amp;Tableau791314[[#Headers],[2021]],tabSuiviConso[HP + HC
instantanné])</calculatedColumnFormula>
    </tableColumn>
    <tableColumn id="4" name="2022" dataDxfId="17" dataCellStyle="Milliers">
      <calculatedColumnFormula>SUMIF(tabSuiviConso[Mois Année],Tableau791314[[#This Row],[Mois]]&amp;"/"&amp;Tableau791314[[#Headers],[2022]],tabSuiviConso[HP + HC
instantanné])</calculatedColumnFormula>
    </tableColumn>
    <tableColumn id="5" name="2023" dataDxfId="16" dataCellStyle="Milliers">
      <calculatedColumnFormula>SUMIF(tabSuiviConso[Mois Année],Tableau791314[[#This Row],[Mois]]&amp;"/"&amp;Tableau791314[[#Headers],[2023]],tabSuiviConso[HP + HC
instantanné])</calculatedColumnFormula>
    </tableColumn>
    <tableColumn id="6" name="2024" dataDxfId="15" dataCellStyle="Milliers">
      <calculatedColumnFormula>SUMIF(tabSuiviConso[Mois Année],Tableau791314[[#This Row],[Mois]]&amp;"/"&amp;Tableau791314[[#Headers],[2024]],tabSuiviConso[HP + HC
instantanné])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7913" displayName="Tableau7913" ref="A1:E13" totalsRowShown="0" headerRowDxfId="14" dataDxfId="13">
  <autoFilter ref="A1:E13"/>
  <tableColumns count="5">
    <tableColumn id="2" name="Mois" dataDxfId="12"/>
    <tableColumn id="3" name="2021" dataDxfId="11" dataCellStyle="Milliers">
      <calculatedColumnFormula>SUMIF(tabSuiviConso[Mois Année],Tableau7913[[#This Row],[Mois]]&amp;"/"&amp;Tableau7913[[#Headers],[2021]],tabSuiviConso[Conso HP + HC / jour_x000D_
Instantané])</calculatedColumnFormula>
    </tableColumn>
    <tableColumn id="4" name="2022" dataDxfId="10" dataCellStyle="Milliers">
      <calculatedColumnFormula>SUMIF(tabSuiviConso[Mois Année],Tableau7913[[#This Row],[Mois]]&amp;"/"&amp;Tableau7913[[#Headers],[2022]],tabSuiviConso[Conso HP + HC / jour_x000D_
Instantané])</calculatedColumnFormula>
    </tableColumn>
    <tableColumn id="5" name="2023" dataDxfId="9" dataCellStyle="Milliers">
      <calculatedColumnFormula>SUMIF(tabSuiviConso[Mois Année],Tableau7913[[#This Row],[Mois]]&amp;"/"&amp;Tableau7913[[#Headers],[2023]],tabSuiviConso[Conso HP + HC / jour_x000D_
Instantané])</calculatedColumnFormula>
    </tableColumn>
    <tableColumn id="6" name="2024" dataDxfId="8" dataCellStyle="Milliers">
      <calculatedColumnFormula>SUMIF(tabSuiviConso[Mois Année],Tableau7913[[#This Row],[Mois]]&amp;"/"&amp;Tableau7913[[#Headers],[2024]],tabSuiviConso[Conso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au7910" displayName="Tableau7910" ref="A1:F5" totalsRowShown="0" headerRowDxfId="7" dataDxfId="6">
  <autoFilter ref="A1:F5"/>
  <tableColumns count="6">
    <tableColumn id="2" name="Année" dataDxfId="5"/>
    <tableColumn id="5" name="Min_x000a_Température Min" dataDxfId="4">
      <calculatedColumnFormula array="1">MIN(IF(tabSuiviConso[Année]=Tableau7910[[#This Row],[Année]],tabSuiviConso[Min]))</calculatedColumnFormula>
    </tableColumn>
    <tableColumn id="4" name="Moyenne_x000a_Température Min" dataDxfId="3">
      <calculatedColumnFormula>AVERAGEIF(tabSuiviConso[Année],Tableau7910[[#This Row],[Année]],tabSuiviConso[Min])</calculatedColumnFormula>
    </tableColumn>
    <tableColumn id="1" name="Moyenne_x000a_Température Max" dataDxfId="2">
      <calculatedColumnFormula>AVERAGEIF(tabSuiviConso[Année],Tableau7910[[#This Row],[Année]],tabSuiviConso[Max])</calculatedColumnFormula>
    </tableColumn>
    <tableColumn id="7" name="Max_x000a_Température Max" dataDxfId="1">
      <calculatedColumnFormula array="1">MAX(IF(tabSuiviConso[Année]=Tableau7910[[#This Row],[Année]],tabSuiviConso[Max]))</calculatedColumnFormula>
    </tableColumn>
    <tableColumn id="3" name="Moyenne_x000a_Conso HP + HC / jour" dataDxfId="0" dataCellStyle="Milliers">
      <calculatedColumnFormula>AVERAGEIF(tabSuiviConso[Année],Tableau7910[[#This Row],[Année]],tabSuiviConso[Conso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hbn7DtGUtB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AG16"/>
  <sheetViews>
    <sheetView showGridLines="0" tabSelected="1" zoomScaleNormal="100" workbookViewId="0">
      <pane xSplit="25" ySplit="3" topLeftCell="Z4" activePane="bottomRight" state="frozen"/>
      <selection activeCell="K47" sqref="K47"/>
      <selection pane="topRight" activeCell="K47" sqref="K47"/>
      <selection pane="bottomLeft" activeCell="K47" sqref="K47"/>
      <selection pane="bottomRight" activeCell="A16" sqref="A16"/>
    </sheetView>
  </sheetViews>
  <sheetFormatPr baseColWidth="10" defaultColWidth="11.5703125" defaultRowHeight="11.25" x14ac:dyDescent="0.2"/>
  <cols>
    <col min="1" max="1" width="11.7109375" style="2" bestFit="1" customWidth="1"/>
    <col min="2" max="2" width="10" style="5" hidden="1" customWidth="1"/>
    <col min="3" max="3" width="12.5703125" style="5" hidden="1" customWidth="1"/>
    <col min="4" max="4" width="8.85546875" style="18" hidden="1" customWidth="1"/>
    <col min="5" max="5" width="8.42578125" style="18" hidden="1" customWidth="1"/>
    <col min="6" max="6" width="12.5703125" style="18" hidden="1" customWidth="1"/>
    <col min="7" max="7" width="13.5703125" style="18" hidden="1" customWidth="1"/>
    <col min="8" max="8" width="12" style="18" hidden="1" customWidth="1"/>
    <col min="9" max="9" width="14.28515625" style="5" hidden="1" customWidth="1"/>
    <col min="10" max="10" width="12.5703125" style="5" hidden="1" customWidth="1"/>
    <col min="11" max="11" width="12.140625" style="5" hidden="1" customWidth="1"/>
    <col min="12" max="12" width="10.85546875" style="5" hidden="1" customWidth="1"/>
    <col min="13" max="13" width="8.28515625" style="2" bestFit="1" customWidth="1"/>
    <col min="14" max="14" width="8.42578125" style="2" bestFit="1" customWidth="1"/>
    <col min="15" max="16" width="8.42578125" style="2" customWidth="1"/>
    <col min="17" max="17" width="11.5703125" style="5" hidden="1" customWidth="1"/>
    <col min="18" max="18" width="11.42578125" style="3" bestFit="1" customWidth="1"/>
    <col min="19" max="20" width="14.28515625" style="5" bestFit="1" customWidth="1"/>
    <col min="21" max="21" width="10" style="5" bestFit="1" customWidth="1"/>
    <col min="22" max="22" width="11.42578125" style="3" bestFit="1" customWidth="1"/>
    <col min="23" max="24" width="14.28515625" style="5" bestFit="1" customWidth="1"/>
    <col min="25" max="25" width="10" style="5" bestFit="1" customWidth="1"/>
    <col min="26" max="26" width="13.42578125" style="5" bestFit="1" customWidth="1"/>
    <col min="27" max="27" width="10.5703125" style="5" bestFit="1" customWidth="1"/>
    <col min="28" max="28" width="16.140625" style="5" bestFit="1" customWidth="1"/>
    <col min="29" max="29" width="18.85546875" style="5" bestFit="1" customWidth="1"/>
    <col min="30" max="30" width="17.7109375" style="5" bestFit="1" customWidth="1"/>
    <col min="31" max="31" width="16.140625" style="5" bestFit="1" customWidth="1"/>
    <col min="32" max="32" width="18.85546875" style="5" bestFit="1" customWidth="1"/>
    <col min="33" max="33" width="17.7109375" style="5" bestFit="1" customWidth="1"/>
    <col min="34" max="16384" width="11.5703125" style="9"/>
  </cols>
  <sheetData>
    <row r="1" spans="1:33" ht="11.25" customHeight="1" x14ac:dyDescent="0.2">
      <c r="A1" s="94" t="s">
        <v>18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4"/>
      <c r="AC1" s="5" t="e">
        <f>PERCENTILE(tabSuiviConso[Conso HP + HC / jour_x000D_
Instantané],0.9)</f>
        <v>#VALUE!</v>
      </c>
      <c r="AD1" s="5" t="e">
        <f>QUARTILE(tabSuiviConso[Conso HP + HC / jour_x000D_
Instantané],1)</f>
        <v>#VALUE!</v>
      </c>
      <c r="AE1" s="5" t="e">
        <f>QUARTILE(tabSuiviConso[Conso HP + HC / jour_x000D_
Instantané],2)</f>
        <v>#VALUE!</v>
      </c>
      <c r="AF1" s="5" t="e">
        <f>QUARTILE(tabSuiviConso[Conso HP + HC / jour_x000D_
Instantané],3)</f>
        <v>#VALUE!</v>
      </c>
      <c r="AG1" s="5" t="e">
        <f>QUARTILE(tabSuiviConso[Conso HP + HC / jour_x000D_
Instantané],4)</f>
        <v>#VALUE!</v>
      </c>
    </row>
    <row r="2" spans="1:33" x14ac:dyDescent="0.2">
      <c r="U2" s="64">
        <f>LOOKUP(9^9,U:U)/AA2</f>
        <v>0.67429340511440106</v>
      </c>
      <c r="Y2" s="64">
        <f>LOOKUP(9^9,Y:Y)/AA2</f>
        <v>0.32570659488559894</v>
      </c>
      <c r="AA2" s="63">
        <f>LOOKUP(9^9,AA:AA)</f>
        <v>743</v>
      </c>
      <c r="AC2" s="5" t="s">
        <v>109</v>
      </c>
      <c r="AD2" s="5" t="s">
        <v>110</v>
      </c>
      <c r="AE2" s="5" t="s">
        <v>111</v>
      </c>
      <c r="AF2" s="5" t="s">
        <v>112</v>
      </c>
      <c r="AG2" s="5" t="s">
        <v>113</v>
      </c>
    </row>
    <row r="3" spans="1:33" s="10" customFormat="1" ht="22.5" x14ac:dyDescent="0.2">
      <c r="A3" s="43" t="s">
        <v>0</v>
      </c>
      <c r="B3" s="6" t="s">
        <v>9</v>
      </c>
      <c r="C3" s="6" t="s">
        <v>51</v>
      </c>
      <c r="D3" s="17" t="s">
        <v>8</v>
      </c>
      <c r="E3" s="17" t="s">
        <v>73</v>
      </c>
      <c r="F3" s="17" t="s">
        <v>85</v>
      </c>
      <c r="G3" s="17" t="s">
        <v>103</v>
      </c>
      <c r="H3" s="17" t="s">
        <v>78</v>
      </c>
      <c r="I3" s="6" t="s">
        <v>12</v>
      </c>
      <c r="J3" s="6" t="s">
        <v>5</v>
      </c>
      <c r="K3" s="6" t="s">
        <v>6</v>
      </c>
      <c r="L3" s="6" t="s">
        <v>7</v>
      </c>
      <c r="M3" s="43" t="s">
        <v>10</v>
      </c>
      <c r="N3" s="43" t="s">
        <v>11</v>
      </c>
      <c r="O3" s="43" t="s">
        <v>126</v>
      </c>
      <c r="P3" s="43" t="s">
        <v>127</v>
      </c>
      <c r="Q3" s="6" t="s">
        <v>17</v>
      </c>
      <c r="R3" s="42" t="s">
        <v>1</v>
      </c>
      <c r="S3" s="7" t="s">
        <v>13</v>
      </c>
      <c r="T3" s="41" t="s">
        <v>25</v>
      </c>
      <c r="U3" s="45" t="s">
        <v>14</v>
      </c>
      <c r="V3" s="42" t="s">
        <v>2</v>
      </c>
      <c r="W3" s="7" t="s">
        <v>15</v>
      </c>
      <c r="X3" s="41" t="s">
        <v>26</v>
      </c>
      <c r="Y3" s="45" t="s">
        <v>16</v>
      </c>
      <c r="Z3" s="41" t="s">
        <v>19</v>
      </c>
      <c r="AA3" s="40" t="s">
        <v>20</v>
      </c>
      <c r="AB3" s="41" t="s">
        <v>21</v>
      </c>
      <c r="AC3" s="41" t="s">
        <v>3</v>
      </c>
      <c r="AD3" s="41" t="s">
        <v>4</v>
      </c>
      <c r="AE3" s="40" t="s">
        <v>22</v>
      </c>
      <c r="AF3" s="40" t="s">
        <v>23</v>
      </c>
      <c r="AG3" s="40" t="s">
        <v>24</v>
      </c>
    </row>
    <row r="4" spans="1:33" x14ac:dyDescent="0.2">
      <c r="A4" s="11">
        <v>45629.310416666667</v>
      </c>
      <c r="B4" s="12">
        <f>YEAR(tabSuiviConso[[#This Row],[Date]])</f>
        <v>2024</v>
      </c>
      <c r="C4" s="12" t="str">
        <f>IF(B5&lt;&gt;tabSuiviConso[[#This Row],[Année]],tabSuiviConso[[#This Row],[Année]],"")</f>
        <v/>
      </c>
      <c r="D4" s="12">
        <f>MONTH(tabSuiviConso[[#This Row],[Date]])</f>
        <v>12</v>
      </c>
      <c r="E4" s="12">
        <f>DAY(tabSuiviConso[[#This Row],[Date]])</f>
        <v>3</v>
      </c>
      <c r="F4" s="12" t="str">
        <f>TEXT(tabSuiviConso[[#This Row],[Date]]-1,"jjjj")</f>
        <v>lundi</v>
      </c>
      <c r="G4" s="12" t="str">
        <f>tabSuiviConso[[#This Row],[Mois]]&amp;"/"&amp;tabSuiviConso[[#This Row],[Année]]</f>
        <v>12/2024</v>
      </c>
      <c r="H4" s="50" t="str">
        <f>tabSuiviConso[[#This Row],[Jour]]&amp;"/"&amp;tabSuiviConso[[#This Row],[Mois]]&amp;"/"&amp;tabSuiviConso[[#This Row],[Année]]</f>
        <v>3/12/2024</v>
      </c>
      <c r="I4" s="13" t="str">
        <f>IF(ISERROR(tabSuiviConso[[#This Row],[Date]]-#REF!),"",tabSuiviConso[[#This Row],[Date]]-#REF!)</f>
        <v/>
      </c>
      <c r="J4" s="14" t="str">
        <f>IF(ISERROR(tabSuiviConso[[#This Row],[Date]]-#REF!),"",tabSuiviConso[[#This Row],[Date]]-#REF!)</f>
        <v/>
      </c>
      <c r="K4" s="13" t="e">
        <f>tabSuiviConso[[#This Row],[Date]]-#REF!</f>
        <v>#REF!</v>
      </c>
      <c r="L4" s="14" t="e">
        <f>tabSuiviConso[[#This Row],[Date]]-#REF!</f>
        <v>#REF!</v>
      </c>
      <c r="M4" s="70">
        <v>3.4</v>
      </c>
      <c r="N4" s="70">
        <v>12.8</v>
      </c>
      <c r="O4" s="70"/>
      <c r="P4" s="70"/>
      <c r="Q4" s="15">
        <f>tabSuiviConso[[#This Row],[Max]]-tabSuiviConso[[#This Row],[Min]]</f>
        <v>9.4</v>
      </c>
      <c r="R4" s="16">
        <v>13026</v>
      </c>
      <c r="S4" s="15" t="str">
        <f>IF(ISERROR(tabSuiviConso[[#This Row],[Index HP
kWh]]-#REF!),"",tabSuiviConso[[#This Row],[Index HP
kWh]]-#REF!)</f>
        <v/>
      </c>
      <c r="T4" s="15" t="e">
        <f>IF(ISERROR(tabSuiviConso[[#This Row],[Date]]-A4),"",tabSuiviConso[[#This Row],[Diff HP
instantannée]]/tabSuiviConso[[#This Row],[Diff jour
Instantané]])</f>
        <v>#VALUE!</v>
      </c>
      <c r="U4" s="8">
        <f>SUM($S$4:S4)</f>
        <v>0</v>
      </c>
      <c r="V4" s="16">
        <v>6335</v>
      </c>
      <c r="W4" s="15" t="str">
        <f>IF(ISERROR(tabSuiviConso[[#This Row],[Index HC_x000D_
kWh]]-#REF!),"",tabSuiviConso[[#This Row],[Index HC_x000D_
kWh]]-#REF!)</f>
        <v/>
      </c>
      <c r="X4" s="15" t="e">
        <f>IF(ISERROR(tabSuiviConso[[#This Row],[Date]]-A4),"",tabSuiviConso[[#This Row],[Diff HC
instantannée]]/tabSuiviConso[[#This Row],[Diff jour
Instantané]])</f>
        <v>#VALUE!</v>
      </c>
      <c r="Y4" s="8">
        <f>SUM($W$4:W4)</f>
        <v>0</v>
      </c>
      <c r="Z4" s="15" t="e">
        <f>tabSuiviConso[[#This Row],[Diff HP
instantannée]]+tabSuiviConso[[#This Row],[Diff HC
instantannée]]</f>
        <v>#VALUE!</v>
      </c>
      <c r="AA4" s="15">
        <f>tabSuiviConso[[#This Row],[Diff HP
cumul]]+tabSuiviConso[[#This Row],[Diff HC
cumul]]</f>
        <v>0</v>
      </c>
      <c r="AB4" s="15" t="e">
        <f>tabSuiviConso[[#This Row],[HP + HC
instantanné]]/(tabSuiviConso[[#This Row],[Diff jour
Instantané]]*24)</f>
        <v>#VALUE!</v>
      </c>
      <c r="AC4" s="15" t="e">
        <f>IF(ISERROR(tabSuiviConso[[#This Row],[Date]]-A4),"",tabSuiviConso[[#This Row],[HP + HC
instantanné]]/tabSuiviConso[[#This Row],[Diff jour
Instantané]])</f>
        <v>#VALUE!</v>
      </c>
      <c r="AD4" s="15" t="e">
        <f>tabSuiviConso[[#This Row],[Conso HP + HC / jour_x000D_
Instantané]]*365</f>
        <v>#VALUE!</v>
      </c>
      <c r="AE4" s="15" t="e">
        <f>tabSuiviConso[[#This Row],[HP + HC
cumul]]/(tabSuiviConso[[#This Row],[Diff jour_x000D_
Cumul]]*24)</f>
        <v>#REF!</v>
      </c>
      <c r="AF4" s="15" t="e">
        <f>tabSuiviConso[[#This Row],[HP + HC
cumul]]/tabSuiviConso[[#This Row],[Diff jour_x000D_
Cumul]]</f>
        <v>#REF!</v>
      </c>
      <c r="AG4" s="15" t="e">
        <f>tabSuiviConso[[#This Row],[Conso HP + HC / jour_x000D_
cumul]]*365</f>
        <v>#REF!</v>
      </c>
    </row>
    <row r="5" spans="1:33" x14ac:dyDescent="0.2">
      <c r="A5" s="11">
        <v>45630.313888888886</v>
      </c>
      <c r="B5" s="12">
        <f>YEAR(tabSuiviConso[[#This Row],[Date]])</f>
        <v>2024</v>
      </c>
      <c r="C5" s="12" t="str">
        <f>IF(B6&lt;&gt;tabSuiviConso[[#This Row],[Année]],tabSuiviConso[[#This Row],[Année]],"")</f>
        <v/>
      </c>
      <c r="D5" s="12">
        <f>MONTH(tabSuiviConso[[#This Row],[Date]])</f>
        <v>12</v>
      </c>
      <c r="E5" s="12">
        <f>DAY(tabSuiviConso[[#This Row],[Date]])</f>
        <v>4</v>
      </c>
      <c r="F5" s="12" t="str">
        <f>TEXT(tabSuiviConso[[#This Row],[Date]]-1,"jjjj")</f>
        <v>mardi</v>
      </c>
      <c r="G5" s="12" t="str">
        <f>tabSuiviConso[[#This Row],[Mois]]&amp;"/"&amp;tabSuiviConso[[#This Row],[Année]]</f>
        <v>12/2024</v>
      </c>
      <c r="H5" s="50" t="str">
        <f>tabSuiviConso[[#This Row],[Jour]]&amp;"/"&amp;tabSuiviConso[[#This Row],[Mois]]&amp;"/"&amp;tabSuiviConso[[#This Row],[Année]]</f>
        <v>4/12/2024</v>
      </c>
      <c r="I5" s="13">
        <f>IF(ISERROR(tabSuiviConso[[#This Row],[Date]]-A4),"",tabSuiviConso[[#This Row],[Date]]-A4)</f>
        <v>1.0034722222189885</v>
      </c>
      <c r="J5" s="14">
        <f>IF(ISERROR(tabSuiviConso[[#This Row],[Date]]-A4),"",tabSuiviConso[[#This Row],[Date]]-A4)</f>
        <v>1.0034722222189885</v>
      </c>
      <c r="K5" s="13" t="e">
        <f>tabSuiviConso[[#This Row],[Date]]-#REF!</f>
        <v>#REF!</v>
      </c>
      <c r="L5" s="14" t="e">
        <f>tabSuiviConso[[#This Row],[Date]]-#REF!</f>
        <v>#REF!</v>
      </c>
      <c r="M5" s="70">
        <v>-0.7</v>
      </c>
      <c r="N5" s="70">
        <v>11.4</v>
      </c>
      <c r="O5" s="70"/>
      <c r="P5" s="70"/>
      <c r="Q5" s="15">
        <f>tabSuiviConso[[#This Row],[Max]]-tabSuiviConso[[#This Row],[Min]]</f>
        <v>12.1</v>
      </c>
      <c r="R5" s="16">
        <v>13063</v>
      </c>
      <c r="S5" s="15">
        <f>IF(ISERROR(tabSuiviConso[[#This Row],[Index HP
kWh]]-R4),"",tabSuiviConso[[#This Row],[Index HP
kWh]]-R4)</f>
        <v>37</v>
      </c>
      <c r="T5" s="15">
        <f>IF(ISERROR(tabSuiviConso[[#This Row],[Date]]-A5),"",tabSuiviConso[[#This Row],[Diff HP
instantannée]]/tabSuiviConso[[#This Row],[Diff jour
Instantané]])</f>
        <v>36.871972318457921</v>
      </c>
      <c r="U5" s="8">
        <f>SUM($S$4:S5)</f>
        <v>37</v>
      </c>
      <c r="V5" s="16">
        <v>6359</v>
      </c>
      <c r="W5" s="15">
        <f>IF(ISERROR(tabSuiviConso[[#This Row],[Index HC_x000D_
kWh]]-V4),"",tabSuiviConso[[#This Row],[Index HC_x000D_
kWh]]-V4)</f>
        <v>24</v>
      </c>
      <c r="X5" s="15">
        <f>IF(ISERROR(tabSuiviConso[[#This Row],[Date]]-A5),"",tabSuiviConso[[#This Row],[Diff HC
instantannée]]/tabSuiviConso[[#This Row],[Diff jour
Instantané]])</f>
        <v>23.916955017378111</v>
      </c>
      <c r="Y5" s="8">
        <f>SUM($W$4:W5)</f>
        <v>24</v>
      </c>
      <c r="Z5" s="15">
        <f>tabSuiviConso[[#This Row],[Diff HP
instantannée]]+tabSuiviConso[[#This Row],[Diff HC
instantannée]]</f>
        <v>61</v>
      </c>
      <c r="AA5" s="15">
        <f>tabSuiviConso[[#This Row],[Diff HP
cumul]]+tabSuiviConso[[#This Row],[Diff HC
cumul]]</f>
        <v>61</v>
      </c>
      <c r="AB5" s="15">
        <f>tabSuiviConso[[#This Row],[HP + HC
instantanné]]/(tabSuiviConso[[#This Row],[Diff jour
Instantané]]*24)</f>
        <v>2.5328719723265016</v>
      </c>
      <c r="AC5" s="15">
        <f>IF(ISERROR(tabSuiviConso[[#This Row],[Date]]-A5),"",tabSuiviConso[[#This Row],[HP + HC
instantanné]]/tabSuiviConso[[#This Row],[Diff jour
Instantané]])</f>
        <v>60.788927335836036</v>
      </c>
      <c r="AD5" s="15">
        <f>tabSuiviConso[[#This Row],[Conso HP + HC / jour_x000D_
Instantané]]*365</f>
        <v>22187.958477580152</v>
      </c>
      <c r="AE5" s="15" t="e">
        <f>tabSuiviConso[[#This Row],[HP + HC
cumul]]/(tabSuiviConso[[#This Row],[Diff jour_x000D_
Cumul]]*24)</f>
        <v>#REF!</v>
      </c>
      <c r="AF5" s="15" t="e">
        <f>tabSuiviConso[[#This Row],[HP + HC
cumul]]/tabSuiviConso[[#This Row],[Diff jour_x000D_
Cumul]]</f>
        <v>#REF!</v>
      </c>
      <c r="AG5" s="15" t="e">
        <f>tabSuiviConso[[#This Row],[Conso HP + HC / jour_x000D_
cumul]]*365</f>
        <v>#REF!</v>
      </c>
    </row>
    <row r="6" spans="1:33" x14ac:dyDescent="0.2">
      <c r="A6" s="11">
        <v>45631.342361111114</v>
      </c>
      <c r="B6" s="12">
        <f>YEAR(tabSuiviConso[[#This Row],[Date]])</f>
        <v>2024</v>
      </c>
      <c r="C6" s="12" t="str">
        <f>IF(B7&lt;&gt;tabSuiviConso[[#This Row],[Année]],tabSuiviConso[[#This Row],[Année]],"")</f>
        <v/>
      </c>
      <c r="D6" s="12">
        <f>MONTH(tabSuiviConso[[#This Row],[Date]])</f>
        <v>12</v>
      </c>
      <c r="E6" s="12">
        <f>DAY(tabSuiviConso[[#This Row],[Date]])</f>
        <v>5</v>
      </c>
      <c r="F6" s="12" t="str">
        <f>TEXT(tabSuiviConso[[#This Row],[Date]]-1,"jjjj")</f>
        <v>mercredi</v>
      </c>
      <c r="G6" s="12" t="str">
        <f>tabSuiviConso[[#This Row],[Mois]]&amp;"/"&amp;tabSuiviConso[[#This Row],[Année]]</f>
        <v>12/2024</v>
      </c>
      <c r="H6" s="50" t="str">
        <f>tabSuiviConso[[#This Row],[Jour]]&amp;"/"&amp;tabSuiviConso[[#This Row],[Mois]]&amp;"/"&amp;tabSuiviConso[[#This Row],[Année]]</f>
        <v>5/12/2024</v>
      </c>
      <c r="I6" s="13">
        <f>IF(ISERROR(tabSuiviConso[[#This Row],[Date]]-A5),"",tabSuiviConso[[#This Row],[Date]]-A5)</f>
        <v>1.0284722222277196</v>
      </c>
      <c r="J6" s="14">
        <f>IF(ISERROR(tabSuiviConso[[#This Row],[Date]]-A5),"",tabSuiviConso[[#This Row],[Date]]-A5)</f>
        <v>1.0284722222277196</v>
      </c>
      <c r="K6" s="13" t="e">
        <f>tabSuiviConso[[#This Row],[Date]]-#REF!</f>
        <v>#REF!</v>
      </c>
      <c r="L6" s="14" t="e">
        <f>tabSuiviConso[[#This Row],[Date]]-#REF!</f>
        <v>#REF!</v>
      </c>
      <c r="M6" s="70">
        <v>-0.6</v>
      </c>
      <c r="N6" s="70">
        <v>10.7</v>
      </c>
      <c r="O6" s="70"/>
      <c r="P6" s="70"/>
      <c r="Q6" s="15">
        <f>tabSuiviConso[[#This Row],[Max]]-tabSuiviConso[[#This Row],[Min]]</f>
        <v>11.299999999999999</v>
      </c>
      <c r="R6" s="16">
        <v>13104</v>
      </c>
      <c r="S6" s="15">
        <f>IF(ISERROR(tabSuiviConso[[#This Row],[Index HP
kWh]]-R5),"",tabSuiviConso[[#This Row],[Index HP
kWh]]-R5)</f>
        <v>41</v>
      </c>
      <c r="T6" s="15">
        <f>IF(ISERROR(tabSuiviConso[[#This Row],[Date]]-A6),"",tabSuiviConso[[#This Row],[Diff HP
instantannée]]/tabSuiviConso[[#This Row],[Diff jour
Instantané]])</f>
        <v>39.864956110522904</v>
      </c>
      <c r="U6" s="8">
        <f>SUM($S$4:S6)</f>
        <v>78</v>
      </c>
      <c r="V6" s="16">
        <v>6380</v>
      </c>
      <c r="W6" s="15">
        <f>IF(ISERROR(tabSuiviConso[[#This Row],[Index HC_x000D_
kWh]]-V5),"",tabSuiviConso[[#This Row],[Index HC_x000D_
kWh]]-V5)</f>
        <v>21</v>
      </c>
      <c r="X6" s="15">
        <f>IF(ISERROR(tabSuiviConso[[#This Row],[Date]]-A6),"",tabSuiviConso[[#This Row],[Diff HC
instantannée]]/tabSuiviConso[[#This Row],[Diff jour
Instantané]])</f>
        <v>20.418636056609291</v>
      </c>
      <c r="Y6" s="8">
        <f>SUM($W$4:W6)</f>
        <v>45</v>
      </c>
      <c r="Z6" s="15">
        <f>tabSuiviConso[[#This Row],[Diff HP
instantannée]]+tabSuiviConso[[#This Row],[Diff HC
instantannée]]</f>
        <v>62</v>
      </c>
      <c r="AA6" s="15">
        <f>tabSuiviConso[[#This Row],[Diff HP
cumul]]+tabSuiviConso[[#This Row],[Diff HC
cumul]]</f>
        <v>123</v>
      </c>
      <c r="AB6" s="15">
        <f>tabSuiviConso[[#This Row],[HP + HC
instantanné]]/(tabSuiviConso[[#This Row],[Diff jour
Instantané]]*24)</f>
        <v>2.5118163402971749</v>
      </c>
      <c r="AC6" s="15">
        <f>IF(ISERROR(tabSuiviConso[[#This Row],[Date]]-A6),"",tabSuiviConso[[#This Row],[HP + HC
instantanné]]/tabSuiviConso[[#This Row],[Diff jour
Instantané]])</f>
        <v>60.283592167132191</v>
      </c>
      <c r="AD6" s="15">
        <f>tabSuiviConso[[#This Row],[Conso HP + HC / jour_x000D_
Instantané]]*365</f>
        <v>22003.511141003251</v>
      </c>
      <c r="AE6" s="15" t="e">
        <f>tabSuiviConso[[#This Row],[HP + HC
cumul]]/(tabSuiviConso[[#This Row],[Diff jour_x000D_
Cumul]]*24)</f>
        <v>#REF!</v>
      </c>
      <c r="AF6" s="15" t="e">
        <f>tabSuiviConso[[#This Row],[HP + HC
cumul]]/tabSuiviConso[[#This Row],[Diff jour_x000D_
Cumul]]</f>
        <v>#REF!</v>
      </c>
      <c r="AG6" s="15" t="e">
        <f>tabSuiviConso[[#This Row],[Conso HP + HC / jour_x000D_
cumul]]*365</f>
        <v>#REF!</v>
      </c>
    </row>
    <row r="7" spans="1:33" x14ac:dyDescent="0.2">
      <c r="A7" s="11">
        <v>45632.373611111114</v>
      </c>
      <c r="B7" s="12">
        <f>YEAR(tabSuiviConso[[#This Row],[Date]])</f>
        <v>2024</v>
      </c>
      <c r="C7" s="12" t="str">
        <f>IF(B8&lt;&gt;tabSuiviConso[[#This Row],[Année]],tabSuiviConso[[#This Row],[Année]],"")</f>
        <v/>
      </c>
      <c r="D7" s="12">
        <f>MONTH(tabSuiviConso[[#This Row],[Date]])</f>
        <v>12</v>
      </c>
      <c r="E7" s="12">
        <f>DAY(tabSuiviConso[[#This Row],[Date]])</f>
        <v>6</v>
      </c>
      <c r="F7" s="12" t="str">
        <f>TEXT(tabSuiviConso[[#This Row],[Date]]-1,"jjjj")</f>
        <v>jeudi</v>
      </c>
      <c r="G7" s="12" t="str">
        <f>tabSuiviConso[[#This Row],[Mois]]&amp;"/"&amp;tabSuiviConso[[#This Row],[Année]]</f>
        <v>12/2024</v>
      </c>
      <c r="H7" s="50" t="str">
        <f>tabSuiviConso[[#This Row],[Jour]]&amp;"/"&amp;tabSuiviConso[[#This Row],[Mois]]&amp;"/"&amp;tabSuiviConso[[#This Row],[Année]]</f>
        <v>6/12/2024</v>
      </c>
      <c r="I7" s="13">
        <f>IF(ISERROR(tabSuiviConso[[#This Row],[Date]]-A6),"",tabSuiviConso[[#This Row],[Date]]-A6)</f>
        <v>1.03125</v>
      </c>
      <c r="J7" s="14">
        <f>IF(ISERROR(tabSuiviConso[[#This Row],[Date]]-A6),"",tabSuiviConso[[#This Row],[Date]]-A6)</f>
        <v>1.03125</v>
      </c>
      <c r="K7" s="13" t="e">
        <f>tabSuiviConso[[#This Row],[Date]]-#REF!</f>
        <v>#REF!</v>
      </c>
      <c r="L7" s="14" t="e">
        <f>tabSuiviConso[[#This Row],[Date]]-#REF!</f>
        <v>#REF!</v>
      </c>
      <c r="M7" s="70">
        <v>6.4</v>
      </c>
      <c r="N7" s="70">
        <v>13.9</v>
      </c>
      <c r="O7" s="70"/>
      <c r="P7" s="70"/>
      <c r="Q7" s="15">
        <f>tabSuiviConso[[#This Row],[Max]]-tabSuiviConso[[#This Row],[Min]]</f>
        <v>7.5</v>
      </c>
      <c r="R7" s="16">
        <v>13136</v>
      </c>
      <c r="S7" s="15">
        <f>IF(ISERROR(tabSuiviConso[[#This Row],[Index HP
kWh]]-R6),"",tabSuiviConso[[#This Row],[Index HP
kWh]]-R6)</f>
        <v>32</v>
      </c>
      <c r="T7" s="15">
        <f>IF(ISERROR(tabSuiviConso[[#This Row],[Date]]-A7),"",tabSuiviConso[[#This Row],[Diff HP
instantannée]]/tabSuiviConso[[#This Row],[Diff jour
Instantané]])</f>
        <v>31.030303030303031</v>
      </c>
      <c r="U7" s="8">
        <f>SUM($S$4:S7)</f>
        <v>110</v>
      </c>
      <c r="V7" s="16">
        <v>6395</v>
      </c>
      <c r="W7" s="15">
        <f>IF(ISERROR(tabSuiviConso[[#This Row],[Index HC_x000D_
kWh]]-V6),"",tabSuiviConso[[#This Row],[Index HC_x000D_
kWh]]-V6)</f>
        <v>15</v>
      </c>
      <c r="X7" s="15">
        <f>IF(ISERROR(tabSuiviConso[[#This Row],[Date]]-A7),"",tabSuiviConso[[#This Row],[Diff HC
instantannée]]/tabSuiviConso[[#This Row],[Diff jour
Instantané]])</f>
        <v>14.545454545454545</v>
      </c>
      <c r="Y7" s="8">
        <f>SUM($W$4:W7)</f>
        <v>60</v>
      </c>
      <c r="Z7" s="15">
        <f>tabSuiviConso[[#This Row],[Diff HP
instantannée]]+tabSuiviConso[[#This Row],[Diff HC
instantannée]]</f>
        <v>47</v>
      </c>
      <c r="AA7" s="15">
        <f>tabSuiviConso[[#This Row],[Diff HP
cumul]]+tabSuiviConso[[#This Row],[Diff HC
cumul]]</f>
        <v>170</v>
      </c>
      <c r="AB7" s="15">
        <f>tabSuiviConso[[#This Row],[HP + HC
instantanné]]/(tabSuiviConso[[#This Row],[Diff jour
Instantané]]*24)</f>
        <v>1.898989898989899</v>
      </c>
      <c r="AC7" s="15">
        <f>IF(ISERROR(tabSuiviConso[[#This Row],[Date]]-A7),"",tabSuiviConso[[#This Row],[HP + HC
instantanné]]/tabSuiviConso[[#This Row],[Diff jour
Instantané]])</f>
        <v>45.575757575757578</v>
      </c>
      <c r="AD7" s="15">
        <f>tabSuiviConso[[#This Row],[Conso HP + HC / jour_x000D_
Instantané]]*365</f>
        <v>16635.151515151516</v>
      </c>
      <c r="AE7" s="15" t="e">
        <f>tabSuiviConso[[#This Row],[HP + HC
cumul]]/(tabSuiviConso[[#This Row],[Diff jour_x000D_
Cumul]]*24)</f>
        <v>#REF!</v>
      </c>
      <c r="AF7" s="15" t="e">
        <f>tabSuiviConso[[#This Row],[HP + HC
cumul]]/tabSuiviConso[[#This Row],[Diff jour_x000D_
Cumul]]</f>
        <v>#REF!</v>
      </c>
      <c r="AG7" s="15" t="e">
        <f>tabSuiviConso[[#This Row],[Conso HP + HC / jour_x000D_
cumul]]*365</f>
        <v>#REF!</v>
      </c>
    </row>
    <row r="8" spans="1:33" x14ac:dyDescent="0.2">
      <c r="A8" s="11">
        <v>45633.316666666666</v>
      </c>
      <c r="B8" s="12">
        <f>YEAR(tabSuiviConso[[#This Row],[Date]])</f>
        <v>2024</v>
      </c>
      <c r="C8" s="12" t="str">
        <f>IF(B9&lt;&gt;tabSuiviConso[[#This Row],[Année]],tabSuiviConso[[#This Row],[Année]],"")</f>
        <v/>
      </c>
      <c r="D8" s="12">
        <f>MONTH(tabSuiviConso[[#This Row],[Date]])</f>
        <v>12</v>
      </c>
      <c r="E8" s="12">
        <f>DAY(tabSuiviConso[[#This Row],[Date]])</f>
        <v>7</v>
      </c>
      <c r="F8" s="12" t="str">
        <f>TEXT(tabSuiviConso[[#This Row],[Date]]-1,"jjjj")</f>
        <v>vendredi</v>
      </c>
      <c r="G8" s="12" t="str">
        <f>tabSuiviConso[[#This Row],[Mois]]&amp;"/"&amp;tabSuiviConso[[#This Row],[Année]]</f>
        <v>12/2024</v>
      </c>
      <c r="H8" s="50" t="str">
        <f>tabSuiviConso[[#This Row],[Jour]]&amp;"/"&amp;tabSuiviConso[[#This Row],[Mois]]&amp;"/"&amp;tabSuiviConso[[#This Row],[Année]]</f>
        <v>7/12/2024</v>
      </c>
      <c r="I8" s="13">
        <f>IF(ISERROR(tabSuiviConso[[#This Row],[Date]]-A7),"",tabSuiviConso[[#This Row],[Date]]-A7)</f>
        <v>0.94305555555183673</v>
      </c>
      <c r="J8" s="14">
        <f>IF(ISERROR(tabSuiviConso[[#This Row],[Date]]-A7),"",tabSuiviConso[[#This Row],[Date]]-A7)</f>
        <v>0.94305555555183673</v>
      </c>
      <c r="K8" s="13" t="e">
        <f>tabSuiviConso[[#This Row],[Date]]-#REF!</f>
        <v>#REF!</v>
      </c>
      <c r="L8" s="14" t="e">
        <f>tabSuiviConso[[#This Row],[Date]]-#REF!</f>
        <v>#REF!</v>
      </c>
      <c r="M8" s="70">
        <v>6.5</v>
      </c>
      <c r="N8" s="70">
        <v>13</v>
      </c>
      <c r="O8" s="70"/>
      <c r="P8" s="70"/>
      <c r="Q8" s="15">
        <f>tabSuiviConso[[#This Row],[Max]]-tabSuiviConso[[#This Row],[Min]]</f>
        <v>6.5</v>
      </c>
      <c r="R8" s="16">
        <v>13163</v>
      </c>
      <c r="S8" s="15">
        <f>IF(ISERROR(tabSuiviConso[[#This Row],[Index HP
kWh]]-R7),"",tabSuiviConso[[#This Row],[Index HP
kWh]]-R7)</f>
        <v>27</v>
      </c>
      <c r="T8" s="15">
        <f>IF(ISERROR(tabSuiviConso[[#This Row],[Date]]-A8),"",tabSuiviConso[[#This Row],[Diff HP
instantannée]]/tabSuiviConso[[#This Row],[Diff jour
Instantané]])</f>
        <v>28.630338733544416</v>
      </c>
      <c r="U8" s="8">
        <f>SUM($S$4:S8)</f>
        <v>137</v>
      </c>
      <c r="V8" s="16">
        <v>6402</v>
      </c>
      <c r="W8" s="15">
        <f>IF(ISERROR(tabSuiviConso[[#This Row],[Index HC_x000D_
kWh]]-V7),"",tabSuiviConso[[#This Row],[Index HC_x000D_
kWh]]-V7)</f>
        <v>7</v>
      </c>
      <c r="X8" s="15">
        <f>IF(ISERROR(tabSuiviConso[[#This Row],[Date]]-A8),"",tabSuiviConso[[#This Row],[Diff HC
instantannée]]/tabSuiviConso[[#This Row],[Diff jour
Instantané]])</f>
        <v>7.4226804124004042</v>
      </c>
      <c r="Y8" s="8">
        <f>SUM($W$4:W8)</f>
        <v>67</v>
      </c>
      <c r="Z8" s="15">
        <f>tabSuiviConso[[#This Row],[Diff HP
instantannée]]+tabSuiviConso[[#This Row],[Diff HC
instantannée]]</f>
        <v>34</v>
      </c>
      <c r="AA8" s="15">
        <f>tabSuiviConso[[#This Row],[Diff HP
cumul]]+tabSuiviConso[[#This Row],[Diff HC
cumul]]</f>
        <v>204</v>
      </c>
      <c r="AB8" s="15">
        <f>tabSuiviConso[[#This Row],[HP + HC
instantanné]]/(tabSuiviConso[[#This Row],[Diff jour
Instantané]]*24)</f>
        <v>1.5022091310810342</v>
      </c>
      <c r="AC8" s="15">
        <f>IF(ISERROR(tabSuiviConso[[#This Row],[Date]]-A8),"",tabSuiviConso[[#This Row],[HP + HC
instantanné]]/tabSuiviConso[[#This Row],[Diff jour
Instantané]])</f>
        <v>36.053019145944823</v>
      </c>
      <c r="AD8" s="15">
        <f>tabSuiviConso[[#This Row],[Conso HP + HC / jour_x000D_
Instantané]]*365</f>
        <v>13159.35198826986</v>
      </c>
      <c r="AE8" s="15" t="e">
        <f>tabSuiviConso[[#This Row],[HP + HC
cumul]]/(tabSuiviConso[[#This Row],[Diff jour_x000D_
Cumul]]*24)</f>
        <v>#REF!</v>
      </c>
      <c r="AF8" s="15" t="e">
        <f>tabSuiviConso[[#This Row],[HP + HC
cumul]]/tabSuiviConso[[#This Row],[Diff jour_x000D_
Cumul]]</f>
        <v>#REF!</v>
      </c>
      <c r="AG8" s="15" t="e">
        <f>tabSuiviConso[[#This Row],[Conso HP + HC / jour_x000D_
cumul]]*365</f>
        <v>#REF!</v>
      </c>
    </row>
    <row r="9" spans="1:33" x14ac:dyDescent="0.2">
      <c r="A9" s="11">
        <v>45634.495833333334</v>
      </c>
      <c r="B9" s="12">
        <f>YEAR(tabSuiviConso[[#This Row],[Date]])</f>
        <v>2024</v>
      </c>
      <c r="C9" s="12" t="str">
        <f>IF(B10&lt;&gt;tabSuiviConso[[#This Row],[Année]],tabSuiviConso[[#This Row],[Année]],"")</f>
        <v/>
      </c>
      <c r="D9" s="12">
        <f>MONTH(tabSuiviConso[[#This Row],[Date]])</f>
        <v>12</v>
      </c>
      <c r="E9" s="12">
        <f>DAY(tabSuiviConso[[#This Row],[Date]])</f>
        <v>8</v>
      </c>
      <c r="F9" s="12" t="str">
        <f>TEXT(tabSuiviConso[[#This Row],[Date]]-1,"jjjj")</f>
        <v>samedi</v>
      </c>
      <c r="G9" s="12" t="str">
        <f>tabSuiviConso[[#This Row],[Mois]]&amp;"/"&amp;tabSuiviConso[[#This Row],[Année]]</f>
        <v>12/2024</v>
      </c>
      <c r="H9" s="50" t="str">
        <f>tabSuiviConso[[#This Row],[Jour]]&amp;"/"&amp;tabSuiviConso[[#This Row],[Mois]]&amp;"/"&amp;tabSuiviConso[[#This Row],[Année]]</f>
        <v>8/12/2024</v>
      </c>
      <c r="I9" s="13">
        <f>IF(ISERROR(tabSuiviConso[[#This Row],[Date]]-A8),"",tabSuiviConso[[#This Row],[Date]]-A8)</f>
        <v>1.1791666666686069</v>
      </c>
      <c r="J9" s="14">
        <f>IF(ISERROR(tabSuiviConso[[#This Row],[Date]]-A8),"",tabSuiviConso[[#This Row],[Date]]-A8)</f>
        <v>1.1791666666686069</v>
      </c>
      <c r="K9" s="13" t="e">
        <f>tabSuiviConso[[#This Row],[Date]]-#REF!</f>
        <v>#REF!</v>
      </c>
      <c r="L9" s="14" t="e">
        <f>tabSuiviConso[[#This Row],[Date]]-#REF!</f>
        <v>#REF!</v>
      </c>
      <c r="M9" s="70">
        <v>5.9</v>
      </c>
      <c r="N9" s="70">
        <v>10.1</v>
      </c>
      <c r="O9" s="70"/>
      <c r="P9" s="70"/>
      <c r="Q9" s="15">
        <f>tabSuiviConso[[#This Row],[Max]]-tabSuiviConso[[#This Row],[Min]]</f>
        <v>4.1999999999999993</v>
      </c>
      <c r="R9" s="16">
        <v>13214</v>
      </c>
      <c r="S9" s="15">
        <f>IF(ISERROR(tabSuiviConso[[#This Row],[Index HP
kWh]]-R8),"",tabSuiviConso[[#This Row],[Index HP
kWh]]-R8)</f>
        <v>51</v>
      </c>
      <c r="T9" s="15">
        <f>IF(ISERROR(tabSuiviConso[[#This Row],[Date]]-A9),"",tabSuiviConso[[#This Row],[Diff HP
instantannée]]/tabSuiviConso[[#This Row],[Diff jour
Instantané]])</f>
        <v>43.250883392154982</v>
      </c>
      <c r="U9" s="8">
        <f>SUM($S$4:S9)</f>
        <v>188</v>
      </c>
      <c r="V9" s="16">
        <v>6422</v>
      </c>
      <c r="W9" s="15">
        <f>IF(ISERROR(tabSuiviConso[[#This Row],[Index HC_x000D_
kWh]]-V8),"",tabSuiviConso[[#This Row],[Index HC_x000D_
kWh]]-V8)</f>
        <v>20</v>
      </c>
      <c r="X9" s="15">
        <f>IF(ISERROR(tabSuiviConso[[#This Row],[Date]]-A9),"",tabSuiviConso[[#This Row],[Diff HC
instantannée]]/tabSuiviConso[[#This Row],[Diff jour
Instantané]])</f>
        <v>16.96113074202156</v>
      </c>
      <c r="Y9" s="8">
        <f>SUM($W$4:W9)</f>
        <v>87</v>
      </c>
      <c r="Z9" s="15">
        <f>tabSuiviConso[[#This Row],[Diff HP
instantannée]]+tabSuiviConso[[#This Row],[Diff HC
instantannée]]</f>
        <v>71</v>
      </c>
      <c r="AA9" s="15">
        <f>tabSuiviConso[[#This Row],[Diff HP
cumul]]+tabSuiviConso[[#This Row],[Diff HC
cumul]]</f>
        <v>275</v>
      </c>
      <c r="AB9" s="15">
        <f>tabSuiviConso[[#This Row],[HP + HC
instantanné]]/(tabSuiviConso[[#This Row],[Diff jour
Instantané]]*24)</f>
        <v>2.5088339222573559</v>
      </c>
      <c r="AC9" s="15">
        <f>IF(ISERROR(tabSuiviConso[[#This Row],[Date]]-A9),"",tabSuiviConso[[#This Row],[HP + HC
instantanné]]/tabSuiviConso[[#This Row],[Diff jour
Instantané]])</f>
        <v>60.212014134176542</v>
      </c>
      <c r="AD9" s="15">
        <f>tabSuiviConso[[#This Row],[Conso HP + HC / jour_x000D_
Instantané]]*365</f>
        <v>21977.385158974437</v>
      </c>
      <c r="AE9" s="15" t="e">
        <f>tabSuiviConso[[#This Row],[HP + HC
cumul]]/(tabSuiviConso[[#This Row],[Diff jour_x000D_
Cumul]]*24)</f>
        <v>#REF!</v>
      </c>
      <c r="AF9" s="15" t="e">
        <f>tabSuiviConso[[#This Row],[HP + HC
cumul]]/tabSuiviConso[[#This Row],[Diff jour_x000D_
Cumul]]</f>
        <v>#REF!</v>
      </c>
      <c r="AG9" s="15" t="e">
        <f>tabSuiviConso[[#This Row],[Conso HP + HC / jour_x000D_
cumul]]*365</f>
        <v>#REF!</v>
      </c>
    </row>
    <row r="10" spans="1:33" x14ac:dyDescent="0.2">
      <c r="A10" s="11">
        <v>45635.321527777778</v>
      </c>
      <c r="B10" s="12">
        <f>YEAR(tabSuiviConso[[#This Row],[Date]])</f>
        <v>2024</v>
      </c>
      <c r="C10" s="12" t="str">
        <f>IF(B11&lt;&gt;tabSuiviConso[[#This Row],[Année]],tabSuiviConso[[#This Row],[Année]],"")</f>
        <v/>
      </c>
      <c r="D10" s="12">
        <f>MONTH(tabSuiviConso[[#This Row],[Date]])</f>
        <v>12</v>
      </c>
      <c r="E10" s="12">
        <f>DAY(tabSuiviConso[[#This Row],[Date]])</f>
        <v>9</v>
      </c>
      <c r="F10" s="12" t="str">
        <f>TEXT(tabSuiviConso[[#This Row],[Date]]-1,"jjjj")</f>
        <v>dimanche</v>
      </c>
      <c r="G10" s="12" t="str">
        <f>tabSuiviConso[[#This Row],[Mois]]&amp;"/"&amp;tabSuiviConso[[#This Row],[Année]]</f>
        <v>12/2024</v>
      </c>
      <c r="H10" s="50" t="str">
        <f>tabSuiviConso[[#This Row],[Jour]]&amp;"/"&amp;tabSuiviConso[[#This Row],[Mois]]&amp;"/"&amp;tabSuiviConso[[#This Row],[Année]]</f>
        <v>9/12/2024</v>
      </c>
      <c r="I10" s="13">
        <f>IF(ISERROR(tabSuiviConso[[#This Row],[Date]]-A9),"",tabSuiviConso[[#This Row],[Date]]-A9)</f>
        <v>0.82569444444379769</v>
      </c>
      <c r="J10" s="14">
        <f>IF(ISERROR(tabSuiviConso[[#This Row],[Date]]-A9),"",tabSuiviConso[[#This Row],[Date]]-A9)</f>
        <v>0.82569444444379769</v>
      </c>
      <c r="K10" s="13" t="e">
        <f>tabSuiviConso[[#This Row],[Date]]-#REF!</f>
        <v>#REF!</v>
      </c>
      <c r="L10" s="14" t="e">
        <f>tabSuiviConso[[#This Row],[Date]]-#REF!</f>
        <v>#REF!</v>
      </c>
      <c r="M10" s="70">
        <v>5.8</v>
      </c>
      <c r="N10" s="70">
        <v>7.7</v>
      </c>
      <c r="O10" s="70"/>
      <c r="P10" s="70"/>
      <c r="Q10" s="15">
        <f>tabSuiviConso[[#This Row],[Max]]-tabSuiviConso[[#This Row],[Min]]</f>
        <v>1.9000000000000004</v>
      </c>
      <c r="R10" s="16">
        <v>13247</v>
      </c>
      <c r="S10" s="15">
        <f>IF(ISERROR(tabSuiviConso[[#This Row],[Index HP
kWh]]-R9),"",tabSuiviConso[[#This Row],[Index HP
kWh]]-R9)</f>
        <v>33</v>
      </c>
      <c r="T10" s="15">
        <f>IF(ISERROR(tabSuiviConso[[#This Row],[Date]]-A10),"",tabSuiviConso[[#This Row],[Diff HP
instantannée]]/tabSuiviConso[[#This Row],[Diff jour
Instantané]])</f>
        <v>39.966358284303801</v>
      </c>
      <c r="U10" s="8">
        <f>SUM($S$4:S10)</f>
        <v>221</v>
      </c>
      <c r="V10" s="16">
        <v>6441</v>
      </c>
      <c r="W10" s="15">
        <f>IF(ISERROR(tabSuiviConso[[#This Row],[Index HC_x000D_
kWh]]-V9),"",tabSuiviConso[[#This Row],[Index HC_x000D_
kWh]]-V9)</f>
        <v>19</v>
      </c>
      <c r="X10" s="15">
        <f>IF(ISERROR(tabSuiviConso[[#This Row],[Date]]-A10),"",tabSuiviConso[[#This Row],[Diff HC
instantannée]]/tabSuiviConso[[#This Row],[Diff jour
Instantané]])</f>
        <v>23.01093355762946</v>
      </c>
      <c r="Y10" s="8">
        <f>SUM($W$4:W10)</f>
        <v>106</v>
      </c>
      <c r="Z10" s="15">
        <f>tabSuiviConso[[#This Row],[Diff HP
instantannée]]+tabSuiviConso[[#This Row],[Diff HC
instantannée]]</f>
        <v>52</v>
      </c>
      <c r="AA10" s="15">
        <f>tabSuiviConso[[#This Row],[Diff HP
cumul]]+tabSuiviConso[[#This Row],[Diff HC
cumul]]</f>
        <v>327</v>
      </c>
      <c r="AB10" s="15">
        <f>tabSuiviConso[[#This Row],[HP + HC
instantanné]]/(tabSuiviConso[[#This Row],[Diff jour
Instantané]]*24)</f>
        <v>2.6240538267472195</v>
      </c>
      <c r="AC10" s="15">
        <f>IF(ISERROR(tabSuiviConso[[#This Row],[Date]]-A10),"",tabSuiviConso[[#This Row],[HP + HC
instantanné]]/tabSuiviConso[[#This Row],[Diff jour
Instantané]])</f>
        <v>62.977291841933265</v>
      </c>
      <c r="AD10" s="15">
        <f>tabSuiviConso[[#This Row],[Conso HP + HC / jour_x000D_
Instantané]]*365</f>
        <v>22986.711522305643</v>
      </c>
      <c r="AE10" s="15" t="e">
        <f>tabSuiviConso[[#This Row],[HP + HC
cumul]]/(tabSuiviConso[[#This Row],[Diff jour_x000D_
Cumul]]*24)</f>
        <v>#REF!</v>
      </c>
      <c r="AF10" s="15" t="e">
        <f>tabSuiviConso[[#This Row],[HP + HC
cumul]]/tabSuiviConso[[#This Row],[Diff jour_x000D_
Cumul]]</f>
        <v>#REF!</v>
      </c>
      <c r="AG10" s="15" t="e">
        <f>tabSuiviConso[[#This Row],[Conso HP + HC / jour_x000D_
cumul]]*365</f>
        <v>#REF!</v>
      </c>
    </row>
    <row r="11" spans="1:33" x14ac:dyDescent="0.2">
      <c r="A11" s="11">
        <v>45636.31527777778</v>
      </c>
      <c r="B11" s="12">
        <f>YEAR(tabSuiviConso[[#This Row],[Date]])</f>
        <v>2024</v>
      </c>
      <c r="C11" s="12" t="str">
        <f>IF(B12&lt;&gt;tabSuiviConso[[#This Row],[Année]],tabSuiviConso[[#This Row],[Année]],"")</f>
        <v/>
      </c>
      <c r="D11" s="12">
        <f>MONTH(tabSuiviConso[[#This Row],[Date]])</f>
        <v>12</v>
      </c>
      <c r="E11" s="12">
        <f>DAY(tabSuiviConso[[#This Row],[Date]])</f>
        <v>10</v>
      </c>
      <c r="F11" s="12" t="str">
        <f>TEXT(tabSuiviConso[[#This Row],[Date]]-1,"jjjj")</f>
        <v>lundi</v>
      </c>
      <c r="G11" s="12" t="str">
        <f>tabSuiviConso[[#This Row],[Mois]]&amp;"/"&amp;tabSuiviConso[[#This Row],[Année]]</f>
        <v>12/2024</v>
      </c>
      <c r="H11" s="50" t="str">
        <f>tabSuiviConso[[#This Row],[Jour]]&amp;"/"&amp;tabSuiviConso[[#This Row],[Mois]]&amp;"/"&amp;tabSuiviConso[[#This Row],[Année]]</f>
        <v>10/12/2024</v>
      </c>
      <c r="I11" s="13">
        <f>IF(ISERROR(tabSuiviConso[[#This Row],[Date]]-A10),"",tabSuiviConso[[#This Row],[Date]]-A10)</f>
        <v>0.99375000000145519</v>
      </c>
      <c r="J11" s="14">
        <f>IF(ISERROR(tabSuiviConso[[#This Row],[Date]]-A10),"",tabSuiviConso[[#This Row],[Date]]-A10)</f>
        <v>0.99375000000145519</v>
      </c>
      <c r="K11" s="13" t="e">
        <f>tabSuiviConso[[#This Row],[Date]]-#REF!</f>
        <v>#REF!</v>
      </c>
      <c r="L11" s="14" t="e">
        <f>tabSuiviConso[[#This Row],[Date]]-#REF!</f>
        <v>#REF!</v>
      </c>
      <c r="M11" s="70">
        <v>3.8</v>
      </c>
      <c r="N11" s="70">
        <v>6.4</v>
      </c>
      <c r="O11" s="70"/>
      <c r="P11" s="70"/>
      <c r="Q11" s="15">
        <f>tabSuiviConso[[#This Row],[Max]]-tabSuiviConso[[#This Row],[Min]]</f>
        <v>2.6000000000000005</v>
      </c>
      <c r="R11" s="16">
        <v>13292</v>
      </c>
      <c r="S11" s="15">
        <f>IF(ISERROR(tabSuiviConso[[#This Row],[Index HP
kWh]]-R10),"",tabSuiviConso[[#This Row],[Index HP
kWh]]-R10)</f>
        <v>45</v>
      </c>
      <c r="T11" s="15">
        <f>IF(ISERROR(tabSuiviConso[[#This Row],[Date]]-A11),"",tabSuiviConso[[#This Row],[Diff HP
instantannée]]/tabSuiviConso[[#This Row],[Diff jour
Instantané]])</f>
        <v>45.283018867858218</v>
      </c>
      <c r="U11" s="8">
        <f>SUM($S$4:S11)</f>
        <v>266</v>
      </c>
      <c r="V11" s="16">
        <v>6462</v>
      </c>
      <c r="W11" s="15">
        <f>IF(ISERROR(tabSuiviConso[[#This Row],[Index HC_x000D_
kWh]]-V10),"",tabSuiviConso[[#This Row],[Index HC_x000D_
kWh]]-V10)</f>
        <v>21</v>
      </c>
      <c r="X11" s="15">
        <f>IF(ISERROR(tabSuiviConso[[#This Row],[Date]]-A11),"",tabSuiviConso[[#This Row],[Diff HC
instantannée]]/tabSuiviConso[[#This Row],[Diff jour
Instantané]])</f>
        <v>21.132075471667168</v>
      </c>
      <c r="Y11" s="8">
        <f>SUM($W$4:W11)</f>
        <v>127</v>
      </c>
      <c r="Z11" s="15">
        <f>tabSuiviConso[[#This Row],[Diff HP
instantannée]]+tabSuiviConso[[#This Row],[Diff HC
instantannée]]</f>
        <v>66</v>
      </c>
      <c r="AA11" s="15">
        <f>tabSuiviConso[[#This Row],[Diff HP
cumul]]+tabSuiviConso[[#This Row],[Diff HC
cumul]]</f>
        <v>393</v>
      </c>
      <c r="AB11" s="15">
        <f>tabSuiviConso[[#This Row],[HP + HC
instantanné]]/(tabSuiviConso[[#This Row],[Diff jour
Instantané]]*24)</f>
        <v>2.7672955974802242</v>
      </c>
      <c r="AC11" s="15">
        <f>IF(ISERROR(tabSuiviConso[[#This Row],[Date]]-A11),"",tabSuiviConso[[#This Row],[HP + HC
instantanné]]/tabSuiviConso[[#This Row],[Diff jour
Instantané]])</f>
        <v>66.415094339525382</v>
      </c>
      <c r="AD11" s="15">
        <f>tabSuiviConso[[#This Row],[Conso HP + HC / jour_x000D_
Instantané]]*365</f>
        <v>24241.509433926763</v>
      </c>
      <c r="AE11" s="15" t="e">
        <f>tabSuiviConso[[#This Row],[HP + HC
cumul]]/(tabSuiviConso[[#This Row],[Diff jour_x000D_
Cumul]]*24)</f>
        <v>#REF!</v>
      </c>
      <c r="AF11" s="15" t="e">
        <f>tabSuiviConso[[#This Row],[HP + HC
cumul]]/tabSuiviConso[[#This Row],[Diff jour_x000D_
Cumul]]</f>
        <v>#REF!</v>
      </c>
      <c r="AG11" s="15" t="e">
        <f>tabSuiviConso[[#This Row],[Conso HP + HC / jour_x000D_
cumul]]*365</f>
        <v>#REF!</v>
      </c>
    </row>
    <row r="12" spans="1:33" x14ac:dyDescent="0.2">
      <c r="A12" s="11">
        <v>45637.334722222222</v>
      </c>
      <c r="B12" s="12">
        <f>YEAR(tabSuiviConso[[#This Row],[Date]])</f>
        <v>2024</v>
      </c>
      <c r="C12" s="12" t="str">
        <f>IF(B13&lt;&gt;tabSuiviConso[[#This Row],[Année]],tabSuiviConso[[#This Row],[Année]],"")</f>
        <v/>
      </c>
      <c r="D12" s="12">
        <f>MONTH(tabSuiviConso[[#This Row],[Date]])</f>
        <v>12</v>
      </c>
      <c r="E12" s="12">
        <f>DAY(tabSuiviConso[[#This Row],[Date]])</f>
        <v>11</v>
      </c>
      <c r="F12" s="12" t="str">
        <f>TEXT(tabSuiviConso[[#This Row],[Date]]-1,"jjjj")</f>
        <v>mardi</v>
      </c>
      <c r="G12" s="12" t="str">
        <f>tabSuiviConso[[#This Row],[Mois]]&amp;"/"&amp;tabSuiviConso[[#This Row],[Année]]</f>
        <v>12/2024</v>
      </c>
      <c r="H12" s="50" t="str">
        <f>tabSuiviConso[[#This Row],[Jour]]&amp;"/"&amp;tabSuiviConso[[#This Row],[Mois]]&amp;"/"&amp;tabSuiviConso[[#This Row],[Année]]</f>
        <v>11/12/2024</v>
      </c>
      <c r="I12" s="13">
        <f>IF(ISERROR(tabSuiviConso[[#This Row],[Date]]-A11),"",tabSuiviConso[[#This Row],[Date]]-A11)</f>
        <v>1.0194444444423425</v>
      </c>
      <c r="J12" s="14">
        <f>IF(ISERROR(tabSuiviConso[[#This Row],[Date]]-A11),"",tabSuiviConso[[#This Row],[Date]]-A11)</f>
        <v>1.0194444444423425</v>
      </c>
      <c r="K12" s="13" t="e">
        <f>tabSuiviConso[[#This Row],[Date]]-#REF!</f>
        <v>#REF!</v>
      </c>
      <c r="L12" s="14" t="e">
        <f>tabSuiviConso[[#This Row],[Date]]-#REF!</f>
        <v>#REF!</v>
      </c>
      <c r="M12" s="70">
        <v>2.6</v>
      </c>
      <c r="N12" s="70">
        <v>4.5999999999999996</v>
      </c>
      <c r="O12" s="70"/>
      <c r="P12" s="70"/>
      <c r="Q12" s="15">
        <f>tabSuiviConso[[#This Row],[Max]]-tabSuiviConso[[#This Row],[Min]]</f>
        <v>1.9999999999999996</v>
      </c>
      <c r="R12" s="16">
        <v>13337</v>
      </c>
      <c r="S12" s="15">
        <f>IF(ISERROR(tabSuiviConso[[#This Row],[Index HP
kWh]]-R11),"",tabSuiviConso[[#This Row],[Index HP
kWh]]-R11)</f>
        <v>45</v>
      </c>
      <c r="T12" s="15">
        <f>IF(ISERROR(tabSuiviConso[[#This Row],[Date]]-A12),"",tabSuiviConso[[#This Row],[Diff HP
instantannée]]/tabSuiviConso[[#This Row],[Diff jour
Instantané]])</f>
        <v>44.141689373388019</v>
      </c>
      <c r="U12" s="8">
        <f>SUM($S$4:S12)</f>
        <v>311</v>
      </c>
      <c r="V12" s="16">
        <v>6483</v>
      </c>
      <c r="W12" s="15">
        <f>IF(ISERROR(tabSuiviConso[[#This Row],[Index HC_x000D_
kWh]]-V11),"",tabSuiviConso[[#This Row],[Index HC_x000D_
kWh]]-V11)</f>
        <v>21</v>
      </c>
      <c r="X12" s="15">
        <f>IF(ISERROR(tabSuiviConso[[#This Row],[Date]]-A12),"",tabSuiviConso[[#This Row],[Diff HC
instantannée]]/tabSuiviConso[[#This Row],[Diff jour
Instantané]])</f>
        <v>20.599455040914407</v>
      </c>
      <c r="Y12" s="8">
        <f>SUM($W$4:W12)</f>
        <v>148</v>
      </c>
      <c r="Z12" s="15">
        <f>tabSuiviConso[[#This Row],[Diff HP
instantannée]]+tabSuiviConso[[#This Row],[Diff HC
instantannée]]</f>
        <v>66</v>
      </c>
      <c r="AA12" s="15">
        <f>tabSuiviConso[[#This Row],[Diff HP
cumul]]+tabSuiviConso[[#This Row],[Diff HC
cumul]]</f>
        <v>459</v>
      </c>
      <c r="AB12" s="15">
        <f>tabSuiviConso[[#This Row],[HP + HC
instantanné]]/(tabSuiviConso[[#This Row],[Diff jour
Instantané]]*24)</f>
        <v>2.6975476839292676</v>
      </c>
      <c r="AC12" s="15">
        <f>IF(ISERROR(tabSuiviConso[[#This Row],[Date]]-A12),"",tabSuiviConso[[#This Row],[HP + HC
instantanné]]/tabSuiviConso[[#This Row],[Diff jour
Instantané]])</f>
        <v>64.741144414302426</v>
      </c>
      <c r="AD12" s="15">
        <f>tabSuiviConso[[#This Row],[Conso HP + HC / jour_x000D_
Instantané]]*365</f>
        <v>23630.517711220386</v>
      </c>
      <c r="AE12" s="15" t="e">
        <f>tabSuiviConso[[#This Row],[HP + HC
cumul]]/(tabSuiviConso[[#This Row],[Diff jour_x000D_
Cumul]]*24)</f>
        <v>#REF!</v>
      </c>
      <c r="AF12" s="15" t="e">
        <f>tabSuiviConso[[#This Row],[HP + HC
cumul]]/tabSuiviConso[[#This Row],[Diff jour_x000D_
Cumul]]</f>
        <v>#REF!</v>
      </c>
      <c r="AG12" s="15" t="e">
        <f>tabSuiviConso[[#This Row],[Conso HP + HC / jour_x000D_
cumul]]*365</f>
        <v>#REF!</v>
      </c>
    </row>
    <row r="13" spans="1:33" x14ac:dyDescent="0.2">
      <c r="A13" s="11">
        <v>45638.320138888892</v>
      </c>
      <c r="B13" s="12">
        <f>YEAR(tabSuiviConso[[#This Row],[Date]])</f>
        <v>2024</v>
      </c>
      <c r="C13" s="12" t="str">
        <f>IF(B14&lt;&gt;tabSuiviConso[[#This Row],[Année]],tabSuiviConso[[#This Row],[Année]],"")</f>
        <v/>
      </c>
      <c r="D13" s="12">
        <f>MONTH(tabSuiviConso[[#This Row],[Date]])</f>
        <v>12</v>
      </c>
      <c r="E13" s="12">
        <f>DAY(tabSuiviConso[[#This Row],[Date]])</f>
        <v>12</v>
      </c>
      <c r="F13" s="12" t="str">
        <f>TEXT(tabSuiviConso[[#This Row],[Date]]-1,"jjjj")</f>
        <v>mercredi</v>
      </c>
      <c r="G13" s="12" t="str">
        <f>tabSuiviConso[[#This Row],[Mois]]&amp;"/"&amp;tabSuiviConso[[#This Row],[Année]]</f>
        <v>12/2024</v>
      </c>
      <c r="H13" s="50" t="str">
        <f>tabSuiviConso[[#This Row],[Jour]]&amp;"/"&amp;tabSuiviConso[[#This Row],[Mois]]&amp;"/"&amp;tabSuiviConso[[#This Row],[Année]]</f>
        <v>12/12/2024</v>
      </c>
      <c r="I13" s="13">
        <f>IF(ISERROR(tabSuiviConso[[#This Row],[Date]]-A12),"",tabSuiviConso[[#This Row],[Date]]-A12)</f>
        <v>0.98541666667006211</v>
      </c>
      <c r="J13" s="14">
        <f>IF(ISERROR(tabSuiviConso[[#This Row],[Date]]-A12),"",tabSuiviConso[[#This Row],[Date]]-A12)</f>
        <v>0.98541666667006211</v>
      </c>
      <c r="K13" s="13" t="e">
        <f>tabSuiviConso[[#This Row],[Date]]-#REF!</f>
        <v>#REF!</v>
      </c>
      <c r="L13" s="14" t="e">
        <f>tabSuiviConso[[#This Row],[Date]]-#REF!</f>
        <v>#REF!</v>
      </c>
      <c r="M13" s="70">
        <v>-0.4</v>
      </c>
      <c r="N13" s="70">
        <v>5.4</v>
      </c>
      <c r="O13" s="70"/>
      <c r="P13" s="70"/>
      <c r="Q13" s="15">
        <f>tabSuiviConso[[#This Row],[Max]]-tabSuiviConso[[#This Row],[Min]]</f>
        <v>5.8000000000000007</v>
      </c>
      <c r="R13" s="16">
        <v>13386</v>
      </c>
      <c r="S13" s="15">
        <f>IF(ISERROR(tabSuiviConso[[#This Row],[Index HP
kWh]]-R12),"",tabSuiviConso[[#This Row],[Index HP
kWh]]-R12)</f>
        <v>49</v>
      </c>
      <c r="T13" s="15">
        <f>IF(ISERROR(tabSuiviConso[[#This Row],[Date]]-A13),"",tabSuiviConso[[#This Row],[Diff HP
instantannée]]/tabSuiviConso[[#This Row],[Diff jour
Instantané]])</f>
        <v>49.725158562196526</v>
      </c>
      <c r="U13" s="8">
        <f>SUM($S$4:S13)</f>
        <v>360</v>
      </c>
      <c r="V13" s="16">
        <v>6507</v>
      </c>
      <c r="W13" s="15">
        <f>IF(ISERROR(tabSuiviConso[[#This Row],[Index HC_x000D_
kWh]]-V12),"",tabSuiviConso[[#This Row],[Index HC_x000D_
kWh]]-V12)</f>
        <v>24</v>
      </c>
      <c r="X13" s="15">
        <f>IF(ISERROR(tabSuiviConso[[#This Row],[Date]]-A13),"",tabSuiviConso[[#This Row],[Diff HC
instantannée]]/tabSuiviConso[[#This Row],[Diff jour
Instantané]])</f>
        <v>24.355179703932993</v>
      </c>
      <c r="Y13" s="8">
        <f>SUM($W$4:W13)</f>
        <v>172</v>
      </c>
      <c r="Z13" s="15">
        <f>tabSuiviConso[[#This Row],[Diff HP
instantannée]]+tabSuiviConso[[#This Row],[Diff HC
instantannée]]</f>
        <v>73</v>
      </c>
      <c r="AA13" s="15">
        <f>tabSuiviConso[[#This Row],[Diff HP
cumul]]+tabSuiviConso[[#This Row],[Diff HC
cumul]]</f>
        <v>532</v>
      </c>
      <c r="AB13" s="15">
        <f>tabSuiviConso[[#This Row],[HP + HC
instantanné]]/(tabSuiviConso[[#This Row],[Diff jour
Instantané]]*24)</f>
        <v>3.0866807610887301</v>
      </c>
      <c r="AC13" s="15">
        <f>IF(ISERROR(tabSuiviConso[[#This Row],[Date]]-A13),"",tabSuiviConso[[#This Row],[HP + HC
instantanné]]/tabSuiviConso[[#This Row],[Diff jour
Instantané]])</f>
        <v>74.080338266129516</v>
      </c>
      <c r="AD13" s="15">
        <f>tabSuiviConso[[#This Row],[Conso HP + HC / jour_x000D_
Instantané]]*365</f>
        <v>27039.323467137274</v>
      </c>
      <c r="AE13" s="15" t="e">
        <f>tabSuiviConso[[#This Row],[HP + HC
cumul]]/(tabSuiviConso[[#This Row],[Diff jour_x000D_
Cumul]]*24)</f>
        <v>#REF!</v>
      </c>
      <c r="AF13" s="15" t="e">
        <f>tabSuiviConso[[#This Row],[HP + HC
cumul]]/tabSuiviConso[[#This Row],[Diff jour_x000D_
Cumul]]</f>
        <v>#REF!</v>
      </c>
      <c r="AG13" s="15" t="e">
        <f>tabSuiviConso[[#This Row],[Conso HP + HC / jour_x000D_
cumul]]*365</f>
        <v>#REF!</v>
      </c>
    </row>
    <row r="14" spans="1:33" x14ac:dyDescent="0.2">
      <c r="A14" s="11">
        <v>45639.317361111112</v>
      </c>
      <c r="B14" s="12">
        <f>YEAR(tabSuiviConso[[#This Row],[Date]])</f>
        <v>2024</v>
      </c>
      <c r="C14" s="12" t="str">
        <f>IF(B15&lt;&gt;tabSuiviConso[[#This Row],[Année]],tabSuiviConso[[#This Row],[Année]],"")</f>
        <v/>
      </c>
      <c r="D14" s="12">
        <f>MONTH(tabSuiviConso[[#This Row],[Date]])</f>
        <v>12</v>
      </c>
      <c r="E14" s="12">
        <f>DAY(tabSuiviConso[[#This Row],[Date]])</f>
        <v>13</v>
      </c>
      <c r="F14" s="12" t="str">
        <f>TEXT(tabSuiviConso[[#This Row],[Date]]-1,"jjjj")</f>
        <v>jeudi</v>
      </c>
      <c r="G14" s="12" t="str">
        <f>tabSuiviConso[[#This Row],[Mois]]&amp;"/"&amp;tabSuiviConso[[#This Row],[Année]]</f>
        <v>12/2024</v>
      </c>
      <c r="H14" s="50" t="str">
        <f>tabSuiviConso[[#This Row],[Jour]]&amp;"/"&amp;tabSuiviConso[[#This Row],[Mois]]&amp;"/"&amp;tabSuiviConso[[#This Row],[Année]]</f>
        <v>13/12/2024</v>
      </c>
      <c r="I14" s="13">
        <f>IF(ISERROR(tabSuiviConso[[#This Row],[Date]]-A13),"",tabSuiviConso[[#This Row],[Date]]-A13)</f>
        <v>0.99722222222044365</v>
      </c>
      <c r="J14" s="14">
        <f>IF(ISERROR(tabSuiviConso[[#This Row],[Date]]-A13),"",tabSuiviConso[[#This Row],[Date]]-A13)</f>
        <v>0.99722222222044365</v>
      </c>
      <c r="K14" s="13" t="e">
        <f>tabSuiviConso[[#This Row],[Date]]-#REF!</f>
        <v>#REF!</v>
      </c>
      <c r="L14" s="14" t="e">
        <f>tabSuiviConso[[#This Row],[Date]]-#REF!</f>
        <v>#REF!</v>
      </c>
      <c r="M14" s="70">
        <v>-0.4</v>
      </c>
      <c r="N14" s="70">
        <v>5.4</v>
      </c>
      <c r="O14" s="70"/>
      <c r="P14" s="70"/>
      <c r="Q14" s="15">
        <f>tabSuiviConso[[#This Row],[Max]]-tabSuiviConso[[#This Row],[Min]]</f>
        <v>5.8000000000000007</v>
      </c>
      <c r="R14" s="16">
        <v>13434</v>
      </c>
      <c r="S14" s="15">
        <f>IF(ISERROR(tabSuiviConso[[#This Row],[Index HP
kWh]]-R13),"",tabSuiviConso[[#This Row],[Index HP
kWh]]-R13)</f>
        <v>48</v>
      </c>
      <c r="T14" s="15">
        <f>IF(ISERROR(tabSuiviConso[[#This Row],[Date]]-A14),"",tabSuiviConso[[#This Row],[Diff HP
instantannée]]/tabSuiviConso[[#This Row],[Diff jour
Instantané]])</f>
        <v>48.13370473546189</v>
      </c>
      <c r="U14" s="8">
        <f>SUM($S$4:S14)</f>
        <v>408</v>
      </c>
      <c r="V14" s="16">
        <v>6534</v>
      </c>
      <c r="W14" s="15">
        <f>IF(ISERROR(tabSuiviConso[[#This Row],[Index HC_x000D_
kWh]]-V13),"",tabSuiviConso[[#This Row],[Index HC_x000D_
kWh]]-V13)</f>
        <v>27</v>
      </c>
      <c r="X14" s="15">
        <f>IF(ISERROR(tabSuiviConso[[#This Row],[Date]]-A14),"",tabSuiviConso[[#This Row],[Diff HC
instantannée]]/tabSuiviConso[[#This Row],[Diff jour
Instantané]])</f>
        <v>27.075208913697313</v>
      </c>
      <c r="Y14" s="8">
        <f>SUM($W$4:W14)</f>
        <v>199</v>
      </c>
      <c r="Z14" s="15">
        <f>tabSuiviConso[[#This Row],[Diff HP
instantannée]]+tabSuiviConso[[#This Row],[Diff HC
instantannée]]</f>
        <v>75</v>
      </c>
      <c r="AA14" s="15">
        <f>tabSuiviConso[[#This Row],[Diff HP
cumul]]+tabSuiviConso[[#This Row],[Diff HC
cumul]]</f>
        <v>607</v>
      </c>
      <c r="AB14" s="15">
        <f>tabSuiviConso[[#This Row],[HP + HC
instantanné]]/(tabSuiviConso[[#This Row],[Diff jour
Instantané]]*24)</f>
        <v>3.1337047353816336</v>
      </c>
      <c r="AC14" s="15">
        <f>IF(ISERROR(tabSuiviConso[[#This Row],[Date]]-A14),"",tabSuiviConso[[#This Row],[HP + HC
instantanné]]/tabSuiviConso[[#This Row],[Diff jour
Instantané]])</f>
        <v>75.2089136491592</v>
      </c>
      <c r="AD14" s="15">
        <f>tabSuiviConso[[#This Row],[Conso HP + HC / jour_x000D_
Instantané]]*365</f>
        <v>27451.253481943109</v>
      </c>
      <c r="AE14" s="15" t="e">
        <f>tabSuiviConso[[#This Row],[HP + HC
cumul]]/(tabSuiviConso[[#This Row],[Diff jour_x000D_
Cumul]]*24)</f>
        <v>#REF!</v>
      </c>
      <c r="AF14" s="15" t="e">
        <f>tabSuiviConso[[#This Row],[HP + HC
cumul]]/tabSuiviConso[[#This Row],[Diff jour_x000D_
Cumul]]</f>
        <v>#REF!</v>
      </c>
      <c r="AG14" s="15" t="e">
        <f>tabSuiviConso[[#This Row],[Conso HP + HC / jour_x000D_
cumul]]*365</f>
        <v>#REF!</v>
      </c>
    </row>
    <row r="15" spans="1:33" x14ac:dyDescent="0.2">
      <c r="A15" s="11">
        <v>45640.020833333336</v>
      </c>
      <c r="B15" s="12">
        <f>YEAR(tabSuiviConso[[#This Row],[Date]])</f>
        <v>2024</v>
      </c>
      <c r="C15" s="12" t="str">
        <f>IF(B16&lt;&gt;tabSuiviConso[[#This Row],[Année]],tabSuiviConso[[#This Row],[Année]],"")</f>
        <v/>
      </c>
      <c r="D15" s="12">
        <f>MONTH(tabSuiviConso[[#This Row],[Date]])</f>
        <v>12</v>
      </c>
      <c r="E15" s="12">
        <f>DAY(tabSuiviConso[[#This Row],[Date]])</f>
        <v>14</v>
      </c>
      <c r="F15" s="12" t="str">
        <f>TEXT(tabSuiviConso[[#This Row],[Date]]-1,"jjjj")</f>
        <v>vendredi</v>
      </c>
      <c r="G15" s="12" t="str">
        <f>tabSuiviConso[[#This Row],[Mois]]&amp;"/"&amp;tabSuiviConso[[#This Row],[Année]]</f>
        <v>12/2024</v>
      </c>
      <c r="H15" s="50" t="str">
        <f>tabSuiviConso[[#This Row],[Jour]]&amp;"/"&amp;tabSuiviConso[[#This Row],[Mois]]&amp;"/"&amp;tabSuiviConso[[#This Row],[Année]]</f>
        <v>14/12/2024</v>
      </c>
      <c r="I15" s="13">
        <f>IF(ISERROR(tabSuiviConso[[#This Row],[Date]]-A14),"",tabSuiviConso[[#This Row],[Date]]-A14)</f>
        <v>0.70347222222335404</v>
      </c>
      <c r="J15" s="14">
        <f>IF(ISERROR(tabSuiviConso[[#This Row],[Date]]-A14),"",tabSuiviConso[[#This Row],[Date]]-A14)</f>
        <v>0.70347222222335404</v>
      </c>
      <c r="K15" s="13" t="e">
        <f>tabSuiviConso[[#This Row],[Date]]-#REF!</f>
        <v>#REF!</v>
      </c>
      <c r="L15" s="14" t="e">
        <f>tabSuiviConso[[#This Row],[Date]]-#REF!</f>
        <v>#REF!</v>
      </c>
      <c r="M15" s="70">
        <v>-0.4</v>
      </c>
      <c r="N15" s="70">
        <v>5.4</v>
      </c>
      <c r="O15" s="70"/>
      <c r="P15" s="70"/>
      <c r="Q15" s="15">
        <f>tabSuiviConso[[#This Row],[Max]]-tabSuiviConso[[#This Row],[Min]]</f>
        <v>5.8000000000000007</v>
      </c>
      <c r="R15" s="16">
        <v>13491</v>
      </c>
      <c r="S15" s="15">
        <f>IF(ISERROR(tabSuiviConso[[#This Row],[Index HP
kWh]]-R14),"",tabSuiviConso[[#This Row],[Index HP
kWh]]-R14)</f>
        <v>57</v>
      </c>
      <c r="T15" s="15">
        <f>IF(ISERROR(tabSuiviConso[[#This Row],[Date]]-A15),"",tabSuiviConso[[#This Row],[Diff HP
instantannée]]/tabSuiviConso[[#This Row],[Diff jour
Instantané]])</f>
        <v>81.026653504311881</v>
      </c>
      <c r="U15" s="8">
        <f>SUM($S$4:S15)</f>
        <v>465</v>
      </c>
      <c r="V15" s="16">
        <v>6558</v>
      </c>
      <c r="W15" s="15">
        <f>IF(ISERROR(tabSuiviConso[[#This Row],[Index HC_x000D_
kWh]]-V14),"",tabSuiviConso[[#This Row],[Index HC_x000D_
kWh]]-V14)</f>
        <v>24</v>
      </c>
      <c r="X15" s="15">
        <f>IF(ISERROR(tabSuiviConso[[#This Row],[Date]]-A15),"",tabSuiviConso[[#This Row],[Diff HC
instantannée]]/tabSuiviConso[[#This Row],[Diff jour
Instantané]])</f>
        <v>34.11648568602606</v>
      </c>
      <c r="Y15" s="8">
        <f>SUM($W$4:W15)</f>
        <v>223</v>
      </c>
      <c r="Z15" s="15">
        <f>tabSuiviConso[[#This Row],[Diff HP
instantannée]]+tabSuiviConso[[#This Row],[Diff HC
instantannée]]</f>
        <v>81</v>
      </c>
      <c r="AA15" s="15">
        <f>tabSuiviConso[[#This Row],[Diff HP
cumul]]+tabSuiviConso[[#This Row],[Diff HC
cumul]]</f>
        <v>688</v>
      </c>
      <c r="AB15" s="15">
        <f>tabSuiviConso[[#This Row],[HP + HC
instantanné]]/(tabSuiviConso[[#This Row],[Diff jour
Instantané]]*24)</f>
        <v>4.7976307995974148</v>
      </c>
      <c r="AC15" s="15">
        <f>IF(ISERROR(tabSuiviConso[[#This Row],[Date]]-A15),"",tabSuiviConso[[#This Row],[HP + HC
instantanné]]/tabSuiviConso[[#This Row],[Diff jour
Instantané]])</f>
        <v>115.14313919033795</v>
      </c>
      <c r="AD15" s="15">
        <f>tabSuiviConso[[#This Row],[Conso HP + HC / jour_x000D_
Instantané]]*365</f>
        <v>42027.24580447335</v>
      </c>
      <c r="AE15" s="15" t="e">
        <f>tabSuiviConso[[#This Row],[HP + HC
cumul]]/(tabSuiviConso[[#This Row],[Diff jour_x000D_
Cumul]]*24)</f>
        <v>#REF!</v>
      </c>
      <c r="AF15" s="15" t="e">
        <f>tabSuiviConso[[#This Row],[HP + HC
cumul]]/tabSuiviConso[[#This Row],[Diff jour_x000D_
Cumul]]</f>
        <v>#REF!</v>
      </c>
      <c r="AG15" s="15" t="e">
        <f>tabSuiviConso[[#This Row],[Conso HP + HC / jour_x000D_
cumul]]*365</f>
        <v>#REF!</v>
      </c>
    </row>
    <row r="16" spans="1:33" x14ac:dyDescent="0.2">
      <c r="A16" s="11">
        <v>45640.966666666667</v>
      </c>
      <c r="B16" s="12">
        <f>YEAR(tabSuiviConso[[#This Row],[Date]])</f>
        <v>2024</v>
      </c>
      <c r="C16" s="12">
        <f>IF(B17&lt;&gt;tabSuiviConso[[#This Row],[Année]],tabSuiviConso[[#This Row],[Année]],"")</f>
        <v>2024</v>
      </c>
      <c r="D16" s="12">
        <f>MONTH(tabSuiviConso[[#This Row],[Date]])</f>
        <v>12</v>
      </c>
      <c r="E16" s="12">
        <f>DAY(tabSuiviConso[[#This Row],[Date]])</f>
        <v>14</v>
      </c>
      <c r="F16" s="12" t="str">
        <f>TEXT(tabSuiviConso[[#This Row],[Date]]-1,"jjjj")</f>
        <v>vendredi</v>
      </c>
      <c r="G16" s="12" t="str">
        <f>tabSuiviConso[[#This Row],[Mois]]&amp;"/"&amp;tabSuiviConso[[#This Row],[Année]]</f>
        <v>12/2024</v>
      </c>
      <c r="H16" s="50" t="str">
        <f>tabSuiviConso[[#This Row],[Jour]]&amp;"/"&amp;tabSuiviConso[[#This Row],[Mois]]&amp;"/"&amp;tabSuiviConso[[#This Row],[Année]]</f>
        <v>14/12/2024</v>
      </c>
      <c r="I16" s="13">
        <f>IF(ISERROR(tabSuiviConso[[#This Row],[Date]]-A15),"",tabSuiviConso[[#This Row],[Date]]-A15)</f>
        <v>0.94583333333139308</v>
      </c>
      <c r="J16" s="14">
        <f>IF(ISERROR(tabSuiviConso[[#This Row],[Date]]-A15),"",tabSuiviConso[[#This Row],[Date]]-A15)</f>
        <v>0.94583333333139308</v>
      </c>
      <c r="K16" s="13" t="e">
        <f>tabSuiviConso[[#This Row],[Date]]-#REF!</f>
        <v>#REF!</v>
      </c>
      <c r="L16" s="14" t="e">
        <f>tabSuiviConso[[#This Row],[Date]]-#REF!</f>
        <v>#REF!</v>
      </c>
      <c r="M16" s="65"/>
      <c r="N16" s="65"/>
      <c r="O16" s="65"/>
      <c r="P16" s="65"/>
      <c r="Q16" s="15">
        <f>tabSuiviConso[[#This Row],[Max]]-tabSuiviConso[[#This Row],[Min]]</f>
        <v>0</v>
      </c>
      <c r="R16" s="16">
        <v>13527</v>
      </c>
      <c r="S16" s="15">
        <f>IF(ISERROR(tabSuiviConso[[#This Row],[Index HP
kWh]]-R15),"",tabSuiviConso[[#This Row],[Index HP
kWh]]-R15)</f>
        <v>36</v>
      </c>
      <c r="T16" s="15">
        <f>IF(ISERROR(tabSuiviConso[[#This Row],[Date]]-A16),"",tabSuiviConso[[#This Row],[Diff HP
instantannée]]/tabSuiviConso[[#This Row],[Diff jour
Instantané]])</f>
        <v>38.061674008888652</v>
      </c>
      <c r="U16" s="8">
        <f>SUM($S$4:S16)</f>
        <v>501</v>
      </c>
      <c r="V16" s="16">
        <v>6577</v>
      </c>
      <c r="W16" s="15">
        <f>IF(ISERROR(tabSuiviConso[[#This Row],[Index HC_x000D_
kWh]]-V15),"",tabSuiviConso[[#This Row],[Index HC_x000D_
kWh]]-V15)</f>
        <v>19</v>
      </c>
      <c r="X16" s="15">
        <f>IF(ISERROR(tabSuiviConso[[#This Row],[Date]]-A16),"",tabSuiviConso[[#This Row],[Diff HC
instantannée]]/tabSuiviConso[[#This Row],[Diff jour
Instantané]])</f>
        <v>20.088105726913454</v>
      </c>
      <c r="Y16" s="8">
        <f>SUM($W$4:W16)</f>
        <v>242</v>
      </c>
      <c r="Z16" s="15">
        <f>tabSuiviConso[[#This Row],[Diff HP
instantannée]]+tabSuiviConso[[#This Row],[Diff HC
instantannée]]</f>
        <v>55</v>
      </c>
      <c r="AA16" s="15">
        <f>tabSuiviConso[[#This Row],[Diff HP
cumul]]+tabSuiviConso[[#This Row],[Diff HC
cumul]]</f>
        <v>743</v>
      </c>
      <c r="AB16" s="15">
        <f>tabSuiviConso[[#This Row],[HP + HC
instantanné]]/(tabSuiviConso[[#This Row],[Diff jour
Instantané]]*24)</f>
        <v>2.4229074889917546</v>
      </c>
      <c r="AC16" s="15">
        <f>IF(ISERROR(tabSuiviConso[[#This Row],[Date]]-A16),"",tabSuiviConso[[#This Row],[HP + HC
instantanné]]/tabSuiviConso[[#This Row],[Diff jour
Instantané]])</f>
        <v>58.149779735802106</v>
      </c>
      <c r="AD16" s="15">
        <f>tabSuiviConso[[#This Row],[Conso HP + HC / jour_x000D_
Instantané]]*365</f>
        <v>21224.669603567767</v>
      </c>
      <c r="AE16" s="15" t="e">
        <f>tabSuiviConso[[#This Row],[HP + HC
cumul]]/(tabSuiviConso[[#This Row],[Diff jour_x000D_
Cumul]]*24)</f>
        <v>#REF!</v>
      </c>
      <c r="AF16" s="15" t="e">
        <f>tabSuiviConso[[#This Row],[HP + HC
cumul]]/tabSuiviConso[[#This Row],[Diff jour_x000D_
Cumul]]</f>
        <v>#REF!</v>
      </c>
      <c r="AG16" s="15" t="e">
        <f>tabSuiviConso[[#This Row],[Conso HP + HC / jour_x000D_
cumul]]*365</f>
        <v>#REF!</v>
      </c>
    </row>
  </sheetData>
  <sheetProtection autoFilter="0"/>
  <mergeCells count="1">
    <mergeCell ref="A1:X1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AG3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activeCellId="1" sqref="A20:XFD20 A23:XFD23"/>
    </sheetView>
  </sheetViews>
  <sheetFormatPr baseColWidth="10" defaultRowHeight="11.25" x14ac:dyDescent="0.2"/>
  <cols>
    <col min="1" max="1" width="13.140625" style="19" bestFit="1" customWidth="1"/>
    <col min="2" max="2" width="11" style="19" bestFit="1" customWidth="1"/>
    <col min="3" max="3" width="11.85546875" style="19" bestFit="1" customWidth="1"/>
    <col min="4" max="4" width="9.7109375" style="19" bestFit="1" customWidth="1"/>
    <col min="5" max="5" width="11.85546875" style="19" bestFit="1" customWidth="1"/>
    <col min="6" max="6" width="9.7109375" style="19" bestFit="1" customWidth="1"/>
    <col min="7" max="7" width="14" style="19" bestFit="1" customWidth="1"/>
    <col min="8" max="8" width="14.85546875" style="19" bestFit="1" customWidth="1"/>
    <col min="9" max="9" width="10.85546875" style="19" bestFit="1" customWidth="1"/>
    <col min="10" max="10" width="15.42578125" style="19" bestFit="1" customWidth="1"/>
    <col min="11" max="11" width="17" style="19" bestFit="1" customWidth="1"/>
    <col min="12" max="13" width="10" style="19" bestFit="1" customWidth="1"/>
    <col min="14" max="14" width="13" style="19" bestFit="1" customWidth="1"/>
    <col min="15" max="15" width="11.28515625" style="19" bestFit="1" customWidth="1"/>
    <col min="16" max="16" width="13.5703125" style="19" bestFit="1" customWidth="1"/>
    <col min="17" max="17" width="12.42578125" style="19" bestFit="1" customWidth="1"/>
    <col min="18" max="18" width="19" style="19" bestFit="1" customWidth="1"/>
    <col min="19" max="19" width="15.5703125" style="19" bestFit="1" customWidth="1"/>
    <col min="20" max="20" width="19.140625" style="19" bestFit="1" customWidth="1"/>
    <col min="21" max="21" width="18" style="19" bestFit="1" customWidth="1"/>
    <col min="22" max="24" width="14.85546875" style="19" bestFit="1" customWidth="1"/>
    <col min="25" max="25" width="19" style="19" bestFit="1" customWidth="1"/>
    <col min="26" max="26" width="14.85546875" style="19" bestFit="1" customWidth="1"/>
    <col min="27" max="27" width="15.5703125" style="19" bestFit="1" customWidth="1"/>
    <col min="28" max="28" width="18" style="19" bestFit="1" customWidth="1"/>
    <col min="29" max="29" width="17" style="19" bestFit="1" customWidth="1"/>
    <col min="30" max="30" width="17.140625" style="19" bestFit="1" customWidth="1"/>
    <col min="31" max="31" width="15" style="19" bestFit="1" customWidth="1"/>
    <col min="32" max="32" width="14.85546875" style="19" bestFit="1" customWidth="1"/>
    <col min="33" max="33" width="15.7109375" style="19" bestFit="1" customWidth="1"/>
    <col min="34" max="16384" width="11.42578125" style="19"/>
  </cols>
  <sheetData>
    <row r="2" spans="1:33" ht="33.75" x14ac:dyDescent="0.2">
      <c r="A2" s="19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19" t="s">
        <v>33</v>
      </c>
      <c r="G2" s="19" t="s">
        <v>27</v>
      </c>
      <c r="H2" s="44" t="s">
        <v>71</v>
      </c>
      <c r="I2" s="20" t="s">
        <v>34</v>
      </c>
      <c r="J2" s="20" t="s">
        <v>35</v>
      </c>
      <c r="K2" s="20" t="s">
        <v>41</v>
      </c>
      <c r="L2" s="20" t="s">
        <v>36</v>
      </c>
      <c r="M2" s="20" t="s">
        <v>37</v>
      </c>
      <c r="N2" s="20" t="s">
        <v>38</v>
      </c>
      <c r="O2" s="49" t="s">
        <v>118</v>
      </c>
      <c r="P2" s="49" t="s">
        <v>70</v>
      </c>
      <c r="Q2" s="20" t="s">
        <v>40</v>
      </c>
      <c r="R2" s="20" t="s">
        <v>42</v>
      </c>
      <c r="S2" s="20" t="s">
        <v>39</v>
      </c>
      <c r="T2" s="49" t="s">
        <v>72</v>
      </c>
      <c r="U2" s="49" t="s">
        <v>102</v>
      </c>
      <c r="V2" s="25" t="s">
        <v>43</v>
      </c>
      <c r="W2" s="25" t="s">
        <v>44</v>
      </c>
      <c r="X2" s="25" t="s">
        <v>45</v>
      </c>
      <c r="Y2" s="25" t="s">
        <v>46</v>
      </c>
      <c r="Z2" s="25" t="s">
        <v>47</v>
      </c>
      <c r="AA2" s="25" t="s">
        <v>69</v>
      </c>
      <c r="AB2" s="25" t="s">
        <v>48</v>
      </c>
      <c r="AC2" s="25" t="s">
        <v>49</v>
      </c>
      <c r="AD2" s="27" t="s">
        <v>50</v>
      </c>
      <c r="AE2" s="73" t="s">
        <v>116</v>
      </c>
      <c r="AF2" s="73" t="s">
        <v>115</v>
      </c>
      <c r="AG2" s="27" t="s">
        <v>117</v>
      </c>
    </row>
    <row r="3" spans="1:33" s="83" customFormat="1" x14ac:dyDescent="0.2">
      <c r="A3" s="75">
        <v>43145</v>
      </c>
      <c r="B3" s="75">
        <v>43263</v>
      </c>
      <c r="C3" s="76"/>
      <c r="D3" s="76"/>
      <c r="E3" s="76"/>
      <c r="F3" s="76"/>
      <c r="G3" s="77">
        <v>915.15</v>
      </c>
      <c r="H3" s="78"/>
      <c r="I3" s="76">
        <f>Tableau3[Date Fin]-Tableau3[Date Début]</f>
        <v>118</v>
      </c>
      <c r="J3" s="79">
        <f>Tableau3[Montant TTC]/Tableau3[Diff jour]</f>
        <v>7.7555084745762706</v>
      </c>
      <c r="K3" s="79">
        <f>Tableau3[[#This Row],[Montant / jour]]*365</f>
        <v>2830.7605932203387</v>
      </c>
      <c r="L3" s="76">
        <f>Tableau3[[#This Row],[HP Fin]]-Tableau3[[#This Row],[HP Début]]</f>
        <v>0</v>
      </c>
      <c r="M3" s="76">
        <f>Tableau3[[#This Row],[HC Fin]]-Tableau3[[#This Row],[HC Début]]</f>
        <v>0</v>
      </c>
      <c r="N3" s="76">
        <v>5844</v>
      </c>
      <c r="O3" s="29"/>
      <c r="P3" s="78"/>
      <c r="Q3" s="76">
        <f>Tableau3[[#This Row],[Total conso]]/Tableau3[[#This Row],[Diff jour]]</f>
        <v>49.525423728813557</v>
      </c>
      <c r="R3" s="76">
        <f>Tableau3[[#This Row],[Kwh / jour]]*365</f>
        <v>18076.77966101695</v>
      </c>
      <c r="S3" s="80">
        <f>Tableau3[[#This Row],[Montant TTC]]/Tableau3[[#This Row],[Total conso]]</f>
        <v>0.1565965092402464</v>
      </c>
      <c r="T3" s="78"/>
      <c r="U3" s="78">
        <f>(Tableau3[[#This Row],[Montant / Kwh]]-$S$3)/$S$3</f>
        <v>0</v>
      </c>
      <c r="V3" s="76"/>
      <c r="W3" s="76"/>
      <c r="X3" s="76" t="e">
        <f>Tableau3[[#This Row],[Total HP + HC
depuis entrée]]/Tableau3[[#This Row],[Total jour
depuis entrée]]</f>
        <v>#DIV/0!</v>
      </c>
      <c r="Y3" s="76" t="e">
        <f>Tableau3[[#This Row],[Kwh / jour
depuis entrée]]*365</f>
        <v>#DIV/0!</v>
      </c>
      <c r="Z3" s="79"/>
      <c r="AA3" s="80" t="e">
        <f>Tableau3[[#This Row],[Montant TTC
depuis entrée]]/Tableau3[[#This Row],[Total HP + HC
depuis entrée]]</f>
        <v>#DIV/0!</v>
      </c>
      <c r="AB3" s="79" t="e">
        <f>Tableau3[[#This Row],[Montant TTC
depuis entrée]]/Tableau3[[#This Row],[Total jour
depuis entrée]]</f>
        <v>#DIV/0!</v>
      </c>
      <c r="AC3" s="76" t="e">
        <f>Tableau3[[#This Row],[Montant TTC / jour
depuis entrée]]*365</f>
        <v>#DIV/0!</v>
      </c>
      <c r="AD3" s="76" t="e">
        <f>Tableau3[[#This Row],[Projection € 365j
depuis entrée]]/12</f>
        <v>#DIV/0!</v>
      </c>
      <c r="AE3" s="81" t="e">
        <f>Tableau3[[#This Row],[Kwh / jour
depuis entrée]]*Tableau3[[#This Row],[Montant / Kwh]]</f>
        <v>#DIV/0!</v>
      </c>
      <c r="AF3" s="81" t="e">
        <f>Tableau3[[#This Row],[Montant TTC / jour
depuis entrée
(dernier prix)]]*365</f>
        <v>#DIV/0!</v>
      </c>
      <c r="AG3" s="82" t="e">
        <f>Tableau3[[#This Row],[Projection € 365j
depuis entrée
(dernier prix)]]/12</f>
        <v>#DIV/0!</v>
      </c>
    </row>
    <row r="4" spans="1:33" s="83" customFormat="1" x14ac:dyDescent="0.2">
      <c r="A4" s="75">
        <v>43263</v>
      </c>
      <c r="B4" s="75">
        <v>43383</v>
      </c>
      <c r="C4" s="76"/>
      <c r="D4" s="76"/>
      <c r="E4" s="76"/>
      <c r="F4" s="76"/>
      <c r="G4" s="77">
        <v>455.22</v>
      </c>
      <c r="H4" s="78"/>
      <c r="I4" s="76">
        <f>Tableau3[Date Fin]-Tableau3[Date Début]</f>
        <v>120</v>
      </c>
      <c r="J4" s="79">
        <f>Tableau3[Montant TTC]/Tableau3[Diff jour]</f>
        <v>3.7935000000000003</v>
      </c>
      <c r="K4" s="79">
        <f>Tableau3[[#This Row],[Montant / jour]]*365</f>
        <v>1384.6275000000001</v>
      </c>
      <c r="L4" s="76">
        <f>Tableau3[[#This Row],[HP Fin]]-Tableau3[[#This Row],[HP Début]]</f>
        <v>0</v>
      </c>
      <c r="M4" s="76">
        <f>Tableau3[[#This Row],[HC Fin]]-Tableau3[[#This Row],[HC Début]]</f>
        <v>0</v>
      </c>
      <c r="N4" s="76">
        <v>2664</v>
      </c>
      <c r="O4" s="29"/>
      <c r="P4" s="78"/>
      <c r="Q4" s="76">
        <f>Tableau3[[#This Row],[Total conso]]/Tableau3[[#This Row],[Diff jour]]</f>
        <v>22.2</v>
      </c>
      <c r="R4" s="76">
        <f>Tableau3[[#This Row],[Kwh / jour]]*365</f>
        <v>8103</v>
      </c>
      <c r="S4" s="80">
        <f>Tableau3[[#This Row],[Montant TTC]]/Tableau3[[#This Row],[Total conso]]</f>
        <v>0.17087837837837838</v>
      </c>
      <c r="T4" s="78"/>
      <c r="U4" s="78">
        <f>(Tableau3[[#This Row],[Montant / Kwh]]-$S$4)/$S$4</f>
        <v>0</v>
      </c>
      <c r="V4" s="76"/>
      <c r="W4" s="76"/>
      <c r="X4" s="76" t="e">
        <f>Tableau3[[#This Row],[Total HP + HC
depuis entrée]]/Tableau3[[#This Row],[Total jour
depuis entrée]]</f>
        <v>#DIV/0!</v>
      </c>
      <c r="Y4" s="76" t="e">
        <f>Tableau3[[#This Row],[Kwh / jour
depuis entrée]]*365</f>
        <v>#DIV/0!</v>
      </c>
      <c r="Z4" s="79"/>
      <c r="AA4" s="80" t="e">
        <f>Tableau3[[#This Row],[Montant TTC
depuis entrée]]/Tableau3[[#This Row],[Total HP + HC
depuis entrée]]</f>
        <v>#DIV/0!</v>
      </c>
      <c r="AB4" s="79" t="e">
        <f>Tableau3[[#This Row],[Montant TTC
depuis entrée]]/Tableau3[[#This Row],[Total jour
depuis entrée]]</f>
        <v>#DIV/0!</v>
      </c>
      <c r="AC4" s="76" t="e">
        <f>Tableau3[[#This Row],[Montant TTC / jour
depuis entrée]]*365</f>
        <v>#DIV/0!</v>
      </c>
      <c r="AD4" s="76" t="e">
        <f>Tableau3[[#This Row],[Projection € 365j
depuis entrée]]/12</f>
        <v>#DIV/0!</v>
      </c>
      <c r="AE4" s="81" t="e">
        <f>Tableau3[[#This Row],[Kwh / jour
depuis entrée]]*Tableau3[[#This Row],[Montant / Kwh]]</f>
        <v>#DIV/0!</v>
      </c>
      <c r="AF4" s="81" t="e">
        <f>Tableau3[[#This Row],[Montant TTC / jour
depuis entrée
(dernier prix)]]*365</f>
        <v>#DIV/0!</v>
      </c>
      <c r="AG4" s="82" t="e">
        <f>Tableau3[[#This Row],[Projection € 365j
depuis entrée
(dernier prix)]]/12</f>
        <v>#DIV/0!</v>
      </c>
    </row>
    <row r="5" spans="1:33" s="83" customFormat="1" x14ac:dyDescent="0.2">
      <c r="A5" s="75">
        <v>43383</v>
      </c>
      <c r="B5" s="75">
        <v>43507</v>
      </c>
      <c r="C5" s="76"/>
      <c r="D5" s="76"/>
      <c r="E5" s="76"/>
      <c r="F5" s="76"/>
      <c r="G5" s="77">
        <v>1381.26</v>
      </c>
      <c r="H5" s="78"/>
      <c r="I5" s="76">
        <f>Tableau3[Date Fin]-Tableau3[Date Début]</f>
        <v>124</v>
      </c>
      <c r="J5" s="79">
        <f>Tableau3[Montant TTC]/Tableau3[Diff jour]</f>
        <v>11.139193548387096</v>
      </c>
      <c r="K5" s="79">
        <f>Tableau3[[#This Row],[Montant / jour]]*365</f>
        <v>4065.8056451612902</v>
      </c>
      <c r="L5" s="76">
        <f>Tableau3[[#This Row],[HP Fin]]-Tableau3[[#This Row],[HP Début]]</f>
        <v>0</v>
      </c>
      <c r="M5" s="76">
        <f>Tableau3[[#This Row],[HC Fin]]-Tableau3[[#This Row],[HC Début]]</f>
        <v>0</v>
      </c>
      <c r="N5" s="76">
        <v>9060</v>
      </c>
      <c r="O5" s="29">
        <f>Tableau3[[#This Row],[Total conso]]+N4+N3</f>
        <v>17568</v>
      </c>
      <c r="P5" s="78"/>
      <c r="Q5" s="76">
        <f>Tableau3[[#This Row],[Total conso]]/Tableau3[[#This Row],[Diff jour]]</f>
        <v>73.064516129032256</v>
      </c>
      <c r="R5" s="76">
        <f>Tableau3[[#This Row],[Kwh / jour]]*365</f>
        <v>26668.548387096773</v>
      </c>
      <c r="S5" s="80">
        <f>Tableau3[[#This Row],[Montant TTC]]/Tableau3[[#This Row],[Total conso]]</f>
        <v>0.1524569536423841</v>
      </c>
      <c r="T5" s="78"/>
      <c r="U5" s="78">
        <f>(Tableau3[[#This Row],[Montant / Kwh]]-$S$5)/$S$5</f>
        <v>0</v>
      </c>
      <c r="V5" s="76"/>
      <c r="W5" s="76"/>
      <c r="X5" s="76" t="e">
        <f>Tableau3[[#This Row],[Total HP + HC
depuis entrée]]/Tableau3[[#This Row],[Total jour
depuis entrée]]</f>
        <v>#DIV/0!</v>
      </c>
      <c r="Y5" s="76" t="e">
        <f>Tableau3[[#This Row],[Kwh / jour
depuis entrée]]*365</f>
        <v>#DIV/0!</v>
      </c>
      <c r="Z5" s="79"/>
      <c r="AA5" s="80" t="e">
        <f>Tableau3[[#This Row],[Montant TTC
depuis entrée]]/Tableau3[[#This Row],[Total HP + HC
depuis entrée]]</f>
        <v>#DIV/0!</v>
      </c>
      <c r="AB5" s="79" t="e">
        <f>Tableau3[[#This Row],[Montant TTC
depuis entrée]]/Tableau3[[#This Row],[Total jour
depuis entrée]]</f>
        <v>#DIV/0!</v>
      </c>
      <c r="AC5" s="76" t="e">
        <f>Tableau3[[#This Row],[Montant TTC / jour
depuis entrée]]*365</f>
        <v>#DIV/0!</v>
      </c>
      <c r="AD5" s="76" t="e">
        <f>Tableau3[[#This Row],[Projection € 365j
depuis entrée]]/12</f>
        <v>#DIV/0!</v>
      </c>
      <c r="AE5" s="81" t="e">
        <f>Tableau3[[#This Row],[Kwh / jour
depuis entrée]]*Tableau3[[#This Row],[Montant / Kwh]]</f>
        <v>#DIV/0!</v>
      </c>
      <c r="AF5" s="81" t="e">
        <f>Tableau3[[#This Row],[Montant TTC / jour
depuis entrée
(dernier prix)]]*365</f>
        <v>#DIV/0!</v>
      </c>
      <c r="AG5" s="82" t="e">
        <f>Tableau3[[#This Row],[Projection € 365j
depuis entrée
(dernier prix)]]/12</f>
        <v>#DIV/0!</v>
      </c>
    </row>
    <row r="6" spans="1:33" s="83" customFormat="1" x14ac:dyDescent="0.2">
      <c r="A6" s="75">
        <v>43507</v>
      </c>
      <c r="B6" s="75">
        <v>43634</v>
      </c>
      <c r="C6" s="76"/>
      <c r="D6" s="76"/>
      <c r="E6" s="76"/>
      <c r="F6" s="76"/>
      <c r="G6" s="77">
        <v>991.45</v>
      </c>
      <c r="H6" s="78"/>
      <c r="I6" s="76">
        <f>Tableau3[Date Fin]-Tableau3[Date Début]</f>
        <v>127</v>
      </c>
      <c r="J6" s="79">
        <f>Tableau3[Montant TTC]/Tableau3[Diff jour]</f>
        <v>7.8066929133858274</v>
      </c>
      <c r="K6" s="79">
        <f>Tableau3[[#This Row],[Montant / jour]]*365</f>
        <v>2849.4429133858271</v>
      </c>
      <c r="L6" s="76">
        <f>Tableau3[[#This Row],[HP Fin]]-Tableau3[[#This Row],[HP Début]]</f>
        <v>0</v>
      </c>
      <c r="M6" s="76">
        <f>Tableau3[[#This Row],[HC Fin]]-Tableau3[[#This Row],[HC Début]]</f>
        <v>0</v>
      </c>
      <c r="N6" s="76">
        <v>6382</v>
      </c>
      <c r="O6" s="29">
        <f>Tableau3[[#This Row],[Total conso]]+N5+N4</f>
        <v>18106</v>
      </c>
      <c r="P6" s="78"/>
      <c r="Q6" s="76">
        <f>Tableau3[[#This Row],[Total conso]]/Tableau3[[#This Row],[Diff jour]]</f>
        <v>50.251968503937007</v>
      </c>
      <c r="R6" s="76">
        <f>Tableau3[[#This Row],[Kwh / jour]]*365</f>
        <v>18341.968503937009</v>
      </c>
      <c r="S6" s="80">
        <f>Tableau3[[#This Row],[Montant TTC]]/Tableau3[[#This Row],[Total conso]]</f>
        <v>0.15535098715136322</v>
      </c>
      <c r="T6" s="78"/>
      <c r="U6" s="78">
        <f>(Tableau3[[#This Row],[Montant / Kwh]]-$S$6)/$S$6</f>
        <v>0</v>
      </c>
      <c r="V6" s="76"/>
      <c r="W6" s="76"/>
      <c r="X6" s="76" t="e">
        <f>Tableau3[[#This Row],[Total HP + HC
depuis entrée]]/Tableau3[[#This Row],[Total jour
depuis entrée]]</f>
        <v>#DIV/0!</v>
      </c>
      <c r="Y6" s="76" t="e">
        <f>Tableau3[[#This Row],[Kwh / jour
depuis entrée]]*365</f>
        <v>#DIV/0!</v>
      </c>
      <c r="Z6" s="79"/>
      <c r="AA6" s="80" t="e">
        <f>Tableau3[[#This Row],[Montant TTC
depuis entrée]]/Tableau3[[#This Row],[Total HP + HC
depuis entrée]]</f>
        <v>#DIV/0!</v>
      </c>
      <c r="AB6" s="79" t="e">
        <f>Tableau3[[#This Row],[Montant TTC
depuis entrée]]/Tableau3[[#This Row],[Total jour
depuis entrée]]</f>
        <v>#DIV/0!</v>
      </c>
      <c r="AC6" s="76" t="e">
        <f>Tableau3[[#This Row],[Montant TTC / jour
depuis entrée]]*365</f>
        <v>#DIV/0!</v>
      </c>
      <c r="AD6" s="76" t="e">
        <f>Tableau3[[#This Row],[Projection € 365j
depuis entrée]]/12</f>
        <v>#DIV/0!</v>
      </c>
      <c r="AE6" s="81" t="e">
        <f>Tableau3[[#This Row],[Kwh / jour
depuis entrée]]*Tableau3[[#This Row],[Montant / Kwh]]</f>
        <v>#DIV/0!</v>
      </c>
      <c r="AF6" s="81" t="e">
        <f>Tableau3[[#This Row],[Montant TTC / jour
depuis entrée
(dernier prix)]]*365</f>
        <v>#DIV/0!</v>
      </c>
      <c r="AG6" s="82" t="e">
        <f>Tableau3[[#This Row],[Projection € 365j
depuis entrée
(dernier prix)]]/12</f>
        <v>#DIV/0!</v>
      </c>
    </row>
    <row r="7" spans="1:33" s="83" customFormat="1" x14ac:dyDescent="0.2">
      <c r="A7" s="75">
        <v>43634</v>
      </c>
      <c r="B7" s="75">
        <v>43755</v>
      </c>
      <c r="C7" s="76"/>
      <c r="D7" s="76"/>
      <c r="E7" s="76"/>
      <c r="F7" s="76"/>
      <c r="G7" s="77">
        <v>442.23</v>
      </c>
      <c r="H7" s="78"/>
      <c r="I7" s="76">
        <f>Tableau3[Date Fin]-Tableau3[Date Début]</f>
        <v>121</v>
      </c>
      <c r="J7" s="79">
        <f>Tableau3[Montant TTC]/Tableau3[Diff jour]</f>
        <v>3.6547933884297521</v>
      </c>
      <c r="K7" s="79">
        <f>Tableau3[[#This Row],[Montant / jour]]*365</f>
        <v>1333.9995867768596</v>
      </c>
      <c r="L7" s="76">
        <f>Tableau3[[#This Row],[HP Fin]]-Tableau3[[#This Row],[HP Début]]</f>
        <v>0</v>
      </c>
      <c r="M7" s="76">
        <f>Tableau3[[#This Row],[HC Fin]]-Tableau3[[#This Row],[HC Début]]</f>
        <v>0</v>
      </c>
      <c r="N7" s="76">
        <v>2393</v>
      </c>
      <c r="O7" s="29">
        <f>Tableau3[[#This Row],[Total conso]]+N6+N5</f>
        <v>17835</v>
      </c>
      <c r="P7" s="78"/>
      <c r="Q7" s="76">
        <f>Tableau3[[#This Row],[Total conso]]/Tableau3[[#This Row],[Diff jour]]</f>
        <v>19.776859504132233</v>
      </c>
      <c r="R7" s="76">
        <f>Tableau3[[#This Row],[Kwh / jour]]*365</f>
        <v>7218.553719008265</v>
      </c>
      <c r="S7" s="80">
        <f>Tableau3[[#This Row],[Montant TTC]]/Tableau3[[#This Row],[Total conso]]</f>
        <v>0.18480150438779774</v>
      </c>
      <c r="T7" s="78"/>
      <c r="U7" s="78">
        <f>(Tableau3[[#This Row],[Montant / Kwh]]-$S$7)/$S$7</f>
        <v>0</v>
      </c>
      <c r="V7" s="76"/>
      <c r="W7" s="76"/>
      <c r="X7" s="76" t="e">
        <f>Tableau3[[#This Row],[Total HP + HC
depuis entrée]]/Tableau3[[#This Row],[Total jour
depuis entrée]]</f>
        <v>#DIV/0!</v>
      </c>
      <c r="Y7" s="76" t="e">
        <f>Tableau3[[#This Row],[Kwh / jour
depuis entrée]]*365</f>
        <v>#DIV/0!</v>
      </c>
      <c r="Z7" s="79"/>
      <c r="AA7" s="80" t="e">
        <f>Tableau3[[#This Row],[Montant TTC
depuis entrée]]/Tableau3[[#This Row],[Total HP + HC
depuis entrée]]</f>
        <v>#DIV/0!</v>
      </c>
      <c r="AB7" s="79" t="e">
        <f>Tableau3[[#This Row],[Montant TTC
depuis entrée]]/Tableau3[[#This Row],[Total jour
depuis entrée]]</f>
        <v>#DIV/0!</v>
      </c>
      <c r="AC7" s="76" t="e">
        <f>Tableau3[[#This Row],[Montant TTC / jour
depuis entrée]]*365</f>
        <v>#DIV/0!</v>
      </c>
      <c r="AD7" s="76" t="e">
        <f>Tableau3[[#This Row],[Projection € 365j
depuis entrée]]/12</f>
        <v>#DIV/0!</v>
      </c>
      <c r="AE7" s="81" t="e">
        <f>Tableau3[[#This Row],[Kwh / jour
depuis entrée]]*Tableau3[[#This Row],[Montant / Kwh]]</f>
        <v>#DIV/0!</v>
      </c>
      <c r="AF7" s="81" t="e">
        <f>Tableau3[[#This Row],[Montant TTC / jour
depuis entrée
(dernier prix)]]*365</f>
        <v>#DIV/0!</v>
      </c>
      <c r="AG7" s="82" t="e">
        <f>Tableau3[[#This Row],[Projection € 365j
depuis entrée
(dernier prix)]]/12</f>
        <v>#DIV/0!</v>
      </c>
    </row>
    <row r="8" spans="1:33" s="83" customFormat="1" x14ac:dyDescent="0.2">
      <c r="A8" s="75">
        <v>43755</v>
      </c>
      <c r="B8" s="75">
        <v>43877</v>
      </c>
      <c r="C8" s="76"/>
      <c r="D8" s="76"/>
      <c r="E8" s="76"/>
      <c r="F8" s="76"/>
      <c r="G8" s="77"/>
      <c r="H8" s="78"/>
      <c r="I8" s="76">
        <f>Tableau3[Date Fin]-Tableau3[Date Début]</f>
        <v>122</v>
      </c>
      <c r="J8" s="79">
        <f>Tableau3[Montant TTC]/Tableau3[Diff jour]</f>
        <v>0</v>
      </c>
      <c r="K8" s="79">
        <f>Tableau3[[#This Row],[Montant / jour]]*365</f>
        <v>0</v>
      </c>
      <c r="L8" s="76">
        <f>Tableau3[[#This Row],[HP Fin]]-Tableau3[[#This Row],[HP Début]]</f>
        <v>0</v>
      </c>
      <c r="M8" s="76">
        <f>Tableau3[[#This Row],[HC Fin]]-Tableau3[[#This Row],[HC Début]]</f>
        <v>0</v>
      </c>
      <c r="N8" s="76">
        <v>8848</v>
      </c>
      <c r="O8" s="29">
        <f>Tableau3[[#This Row],[Total conso]]+N7+N6</f>
        <v>17623</v>
      </c>
      <c r="P8" s="78"/>
      <c r="Q8" s="76">
        <f>Tableau3[[#This Row],[Total conso]]/Tableau3[[#This Row],[Diff jour]]</f>
        <v>72.52459016393442</v>
      </c>
      <c r="R8" s="76">
        <f>Tableau3[[#This Row],[Kwh / jour]]*365</f>
        <v>26471.475409836065</v>
      </c>
      <c r="S8" s="80">
        <f>Tableau3[[#This Row],[Montant TTC]]/Tableau3[[#This Row],[Total conso]]</f>
        <v>0</v>
      </c>
      <c r="T8" s="78"/>
      <c r="U8" s="78">
        <f>(Tableau3[[#This Row],[Montant / Kwh]]-$S$6)/$S$6</f>
        <v>-1</v>
      </c>
      <c r="V8" s="76"/>
      <c r="W8" s="76"/>
      <c r="X8" s="76" t="e">
        <f>Tableau3[[#This Row],[Total HP + HC
depuis entrée]]/Tableau3[[#This Row],[Total jour
depuis entrée]]</f>
        <v>#DIV/0!</v>
      </c>
      <c r="Y8" s="76" t="e">
        <f>Tableau3[[#This Row],[Kwh / jour
depuis entrée]]*365</f>
        <v>#DIV/0!</v>
      </c>
      <c r="Z8" s="79"/>
      <c r="AA8" s="80" t="e">
        <f>Tableau3[[#This Row],[Montant TTC
depuis entrée]]/Tableau3[[#This Row],[Total HP + HC
depuis entrée]]</f>
        <v>#DIV/0!</v>
      </c>
      <c r="AB8" s="79" t="e">
        <f>Tableau3[[#This Row],[Montant TTC
depuis entrée]]/Tableau3[[#This Row],[Total jour
depuis entrée]]</f>
        <v>#DIV/0!</v>
      </c>
      <c r="AC8" s="76" t="e">
        <f>Tableau3[[#This Row],[Montant TTC / jour
depuis entrée]]*365</f>
        <v>#DIV/0!</v>
      </c>
      <c r="AD8" s="76" t="e">
        <f>Tableau3[[#This Row],[Projection € 365j
depuis entrée]]/12</f>
        <v>#DIV/0!</v>
      </c>
      <c r="AE8" s="81" t="e">
        <f>Tableau3[[#This Row],[Kwh / jour
depuis entrée]]*Tableau3[[#This Row],[Montant / Kwh]]</f>
        <v>#DIV/0!</v>
      </c>
      <c r="AF8" s="81" t="e">
        <f>Tableau3[[#This Row],[Montant TTC / jour
depuis entrée
(dernier prix)]]*365</f>
        <v>#DIV/0!</v>
      </c>
      <c r="AG8" s="82" t="e">
        <f>Tableau3[[#This Row],[Projection € 365j
depuis entrée
(dernier prix)]]/12</f>
        <v>#DIV/0!</v>
      </c>
    </row>
    <row r="9" spans="1:33" s="83" customFormat="1" x14ac:dyDescent="0.2">
      <c r="A9" s="75">
        <v>43877</v>
      </c>
      <c r="B9" s="75">
        <v>44000</v>
      </c>
      <c r="C9" s="76"/>
      <c r="D9" s="76"/>
      <c r="E9" s="76"/>
      <c r="F9" s="76"/>
      <c r="G9" s="77"/>
      <c r="H9" s="78"/>
      <c r="I9" s="76">
        <f>Tableau3[Date Fin]-Tableau3[Date Début]</f>
        <v>123</v>
      </c>
      <c r="J9" s="79">
        <f>Tableau3[Montant TTC]/Tableau3[Diff jour]</f>
        <v>0</v>
      </c>
      <c r="K9" s="79">
        <f>Tableau3[[#This Row],[Montant / jour]]*365</f>
        <v>0</v>
      </c>
      <c r="L9" s="76">
        <f>Tableau3[[#This Row],[HP Fin]]-Tableau3[[#This Row],[HP Début]]</f>
        <v>0</v>
      </c>
      <c r="M9" s="76">
        <f>Tableau3[[#This Row],[HC Fin]]-Tableau3[[#This Row],[HC Début]]</f>
        <v>0</v>
      </c>
      <c r="N9" s="76">
        <v>4562</v>
      </c>
      <c r="O9" s="29">
        <f>Tableau3[[#This Row],[Total conso]]+N8+N7</f>
        <v>15803</v>
      </c>
      <c r="P9" s="78"/>
      <c r="Q9" s="76">
        <f>Tableau3[[#This Row],[Total conso]]/Tableau3[[#This Row],[Diff jour]]</f>
        <v>37.08943089430894</v>
      </c>
      <c r="R9" s="76">
        <f>Tableau3[[#This Row],[Kwh / jour]]*365</f>
        <v>13537.642276422763</v>
      </c>
      <c r="S9" s="80">
        <f>Tableau3[[#This Row],[Montant TTC]]/Tableau3[[#This Row],[Total conso]]</f>
        <v>0</v>
      </c>
      <c r="T9" s="78"/>
      <c r="U9" s="78" t="e">
        <f>(Tableau3[[#This Row],[Montant / Kwh]]-$S$9)/$S$9</f>
        <v>#DIV/0!</v>
      </c>
      <c r="V9" s="76"/>
      <c r="W9" s="76"/>
      <c r="X9" s="76" t="e">
        <f>Tableau3[[#This Row],[Total HP + HC
depuis entrée]]/Tableau3[[#This Row],[Total jour
depuis entrée]]</f>
        <v>#DIV/0!</v>
      </c>
      <c r="Y9" s="76" t="e">
        <f>Tableau3[[#This Row],[Kwh / jour
depuis entrée]]*365</f>
        <v>#DIV/0!</v>
      </c>
      <c r="Z9" s="79"/>
      <c r="AA9" s="80" t="e">
        <f>Tableau3[[#This Row],[Montant TTC
depuis entrée]]/Tableau3[[#This Row],[Total HP + HC
depuis entrée]]</f>
        <v>#DIV/0!</v>
      </c>
      <c r="AB9" s="79" t="e">
        <f>Tableau3[[#This Row],[Montant TTC
depuis entrée]]/Tableau3[[#This Row],[Total jour
depuis entrée]]</f>
        <v>#DIV/0!</v>
      </c>
      <c r="AC9" s="76" t="e">
        <f>Tableau3[[#This Row],[Montant TTC / jour
depuis entrée]]*365</f>
        <v>#DIV/0!</v>
      </c>
      <c r="AD9" s="76" t="e">
        <f>Tableau3[[#This Row],[Projection € 365j
depuis entrée]]/12</f>
        <v>#DIV/0!</v>
      </c>
      <c r="AE9" s="81" t="e">
        <f>Tableau3[[#This Row],[Kwh / jour
depuis entrée]]*Tableau3[[#This Row],[Montant / Kwh]]</f>
        <v>#DIV/0!</v>
      </c>
      <c r="AF9" s="81" t="e">
        <f>Tableau3[[#This Row],[Montant TTC / jour
depuis entrée
(dernier prix)]]*365</f>
        <v>#DIV/0!</v>
      </c>
      <c r="AG9" s="82" t="e">
        <f>Tableau3[[#This Row],[Projection € 365j
depuis entrée
(dernier prix)]]/12</f>
        <v>#DIV/0!</v>
      </c>
    </row>
    <row r="10" spans="1:33" s="83" customFormat="1" x14ac:dyDescent="0.2">
      <c r="A10" s="75">
        <v>44000</v>
      </c>
      <c r="B10" s="75">
        <v>44119</v>
      </c>
      <c r="C10" s="76"/>
      <c r="D10" s="76"/>
      <c r="E10" s="76"/>
      <c r="F10" s="76"/>
      <c r="G10" s="77">
        <v>346.28</v>
      </c>
      <c r="H10" s="78"/>
      <c r="I10" s="76">
        <f>Tableau3[Date Fin]-Tableau3[Date Début]</f>
        <v>119</v>
      </c>
      <c r="J10" s="79">
        <f>Tableau3[Montant TTC]/Tableau3[Diff jour]</f>
        <v>2.9099159663865546</v>
      </c>
      <c r="K10" s="79">
        <f>Tableau3[[#This Row],[Montant / jour]]*365</f>
        <v>1062.1193277310924</v>
      </c>
      <c r="L10" s="76">
        <f>Tableau3[[#This Row],[HP Fin]]-Tableau3[[#This Row],[HP Début]]</f>
        <v>0</v>
      </c>
      <c r="M10" s="76">
        <f>Tableau3[[#This Row],[HC Fin]]-Tableau3[[#This Row],[HC Début]]</f>
        <v>0</v>
      </c>
      <c r="N10" s="76">
        <v>1703</v>
      </c>
      <c r="O10" s="29">
        <f>Tableau3[[#This Row],[Total conso]]+N9+N8</f>
        <v>15113</v>
      </c>
      <c r="P10" s="78"/>
      <c r="Q10" s="76">
        <f>Tableau3[[#This Row],[Total conso]]/Tableau3[[#This Row],[Diff jour]]</f>
        <v>14.3109243697479</v>
      </c>
      <c r="R10" s="76">
        <f>Tableau3[[#This Row],[Kwh / jour]]*365</f>
        <v>5223.4873949579833</v>
      </c>
      <c r="S10" s="80">
        <f>Tableau3[[#This Row],[Montant TTC]]/Tableau3[[#This Row],[Total conso]]</f>
        <v>0.20333529066353492</v>
      </c>
      <c r="T10" s="78"/>
      <c r="U10" s="78">
        <f>(Tableau3[[#This Row],[Montant / Kwh]]-$S$10)/$S$10</f>
        <v>0</v>
      </c>
      <c r="V10" s="76"/>
      <c r="W10" s="76"/>
      <c r="X10" s="76" t="e">
        <f>Tableau3[[#This Row],[Total HP + HC
depuis entrée]]/Tableau3[[#This Row],[Total jour
depuis entrée]]</f>
        <v>#DIV/0!</v>
      </c>
      <c r="Y10" s="76" t="e">
        <f>Tableau3[[#This Row],[Kwh / jour
depuis entrée]]*365</f>
        <v>#DIV/0!</v>
      </c>
      <c r="Z10" s="79"/>
      <c r="AA10" s="80" t="e">
        <f>Tableau3[[#This Row],[Montant TTC
depuis entrée]]/Tableau3[[#This Row],[Total HP + HC
depuis entrée]]</f>
        <v>#DIV/0!</v>
      </c>
      <c r="AB10" s="79" t="e">
        <f>Tableau3[[#This Row],[Montant TTC
depuis entrée]]/Tableau3[[#This Row],[Total jour
depuis entrée]]</f>
        <v>#DIV/0!</v>
      </c>
      <c r="AC10" s="76" t="e">
        <f>Tableau3[[#This Row],[Montant TTC / jour
depuis entrée]]*365</f>
        <v>#DIV/0!</v>
      </c>
      <c r="AD10" s="76" t="e">
        <f>Tableau3[[#This Row],[Projection € 365j
depuis entrée]]/12</f>
        <v>#DIV/0!</v>
      </c>
      <c r="AE10" s="81" t="e">
        <f>Tableau3[[#This Row],[Kwh / jour
depuis entrée]]*Tableau3[[#This Row],[Montant / Kwh]]</f>
        <v>#DIV/0!</v>
      </c>
      <c r="AF10" s="81" t="e">
        <f>Tableau3[[#This Row],[Montant TTC / jour
depuis entrée
(dernier prix)]]*365</f>
        <v>#DIV/0!</v>
      </c>
      <c r="AG10" s="82" t="e">
        <f>Tableau3[[#This Row],[Projection € 365j
depuis entrée
(dernier prix)]]/12</f>
        <v>#DIV/0!</v>
      </c>
    </row>
    <row r="11" spans="1:33" s="92" customFormat="1" x14ac:dyDescent="0.2">
      <c r="A11" s="84">
        <v>44119</v>
      </c>
      <c r="B11" s="84">
        <v>44182</v>
      </c>
      <c r="C11" s="85">
        <f>Tableau3[[#This Row],[HP Fin]]-1818</f>
        <v>177941</v>
      </c>
      <c r="D11" s="85">
        <v>179759</v>
      </c>
      <c r="E11" s="85">
        <f>Tableau3[[#This Row],[HC Fin]]-1006</f>
        <v>118426</v>
      </c>
      <c r="F11" s="85">
        <v>119432</v>
      </c>
      <c r="G11" s="86">
        <v>435.25</v>
      </c>
      <c r="H11" s="87"/>
      <c r="I11" s="85">
        <f>Tableau3[Date Fin]-Tableau3[Date Début]</f>
        <v>63</v>
      </c>
      <c r="J11" s="88">
        <f>Tableau3[Montant TTC]/Tableau3[Diff jour]</f>
        <v>6.9087301587301591</v>
      </c>
      <c r="K11" s="88">
        <f>Tableau3[[#This Row],[Montant / jour]]*365</f>
        <v>2521.686507936508</v>
      </c>
      <c r="L11" s="85">
        <f>Tableau3[[#This Row],[HP Fin]]-Tableau3[[#This Row],[HP Début]]</f>
        <v>1818</v>
      </c>
      <c r="M11" s="85">
        <f>Tableau3[[#This Row],[HC Fin]]-Tableau3[[#This Row],[HC Début]]</f>
        <v>1006</v>
      </c>
      <c r="N11" s="85">
        <f>Tableau3[[#This Row],[Diff HP]]+Tableau3[[#This Row],[Diff HC]]</f>
        <v>2824</v>
      </c>
      <c r="O11" s="85"/>
      <c r="P11" s="87"/>
      <c r="Q11" s="85">
        <f>Tableau3[[#This Row],[Total conso]]/Tableau3[[#This Row],[Diff jour]]</f>
        <v>44.825396825396822</v>
      </c>
      <c r="R11" s="85">
        <f>Tableau3[[#This Row],[Kwh / jour]]*365</f>
        <v>16361.269841269841</v>
      </c>
      <c r="S11" s="89">
        <f>Tableau3[[#This Row],[Montant TTC]]/Tableau3[[#This Row],[Total conso]]</f>
        <v>0.15412535410764872</v>
      </c>
      <c r="T11" s="87"/>
      <c r="U11" s="87">
        <f>(Tableau3[[#This Row],[Montant / Kwh]]-$S$11)/$S$11</f>
        <v>0</v>
      </c>
      <c r="V11" s="85"/>
      <c r="W11" s="85"/>
      <c r="X11" s="85" t="e">
        <f>Tableau3[[#This Row],[Total HP + HC
depuis entrée]]/Tableau3[[#This Row],[Total jour
depuis entrée]]</f>
        <v>#DIV/0!</v>
      </c>
      <c r="Y11" s="85" t="e">
        <f>Tableau3[[#This Row],[Kwh / jour
depuis entrée]]*365</f>
        <v>#DIV/0!</v>
      </c>
      <c r="Z11" s="88"/>
      <c r="AA11" s="89" t="e">
        <f>Tableau3[[#This Row],[Montant TTC
depuis entrée]]/Tableau3[[#This Row],[Total HP + HC
depuis entrée]]</f>
        <v>#DIV/0!</v>
      </c>
      <c r="AB11" s="88" t="e">
        <f>Tableau3[[#This Row],[Montant TTC
depuis entrée]]/Tableau3[[#This Row],[Total jour
depuis entrée]]</f>
        <v>#DIV/0!</v>
      </c>
      <c r="AC11" s="85" t="e">
        <f>Tableau3[[#This Row],[Montant TTC / jour
depuis entrée]]*365</f>
        <v>#DIV/0!</v>
      </c>
      <c r="AD11" s="85" t="e">
        <f>Tableau3[[#This Row],[Projection € 365j
depuis entrée]]/12</f>
        <v>#DIV/0!</v>
      </c>
      <c r="AE11" s="90" t="e">
        <f>Tableau3[[#This Row],[Kwh / jour
depuis entrée]]*Tableau3[[#This Row],[Montant / Kwh]]</f>
        <v>#DIV/0!</v>
      </c>
      <c r="AF11" s="90" t="e">
        <f>Tableau3[[#This Row],[Montant TTC / jour
depuis entrée
(dernier prix)]]*365</f>
        <v>#DIV/0!</v>
      </c>
      <c r="AG11" s="91" t="e">
        <f>Tableau3[[#This Row],[Projection € 365j
depuis entrée
(dernier prix)]]/12</f>
        <v>#DIV/0!</v>
      </c>
    </row>
    <row r="12" spans="1:33" x14ac:dyDescent="0.2">
      <c r="A12" s="21">
        <v>44182</v>
      </c>
      <c r="B12" s="21">
        <v>44243</v>
      </c>
      <c r="C12" s="22">
        <v>179759</v>
      </c>
      <c r="D12" s="22">
        <v>182635</v>
      </c>
      <c r="E12" s="22">
        <v>119432</v>
      </c>
      <c r="F12" s="22">
        <v>120745</v>
      </c>
      <c r="G12" s="23">
        <v>724.83</v>
      </c>
      <c r="H12" s="36"/>
      <c r="I12" s="22">
        <f>Tableau3[Date Fin]-Tableau3[Date Début]</f>
        <v>61</v>
      </c>
      <c r="J12" s="24">
        <f>Tableau3[Montant TTC]/Tableau3[Diff jour]</f>
        <v>11.882459016393444</v>
      </c>
      <c r="K12" s="24">
        <f>Tableau3[[#This Row],[Montant / jour]]*365</f>
        <v>4337.0975409836074</v>
      </c>
      <c r="L12" s="22">
        <f>Tableau3[[#This Row],[HP Fin]]-Tableau3[[#This Row],[HP Début]]</f>
        <v>2876</v>
      </c>
      <c r="M12" s="22">
        <f>Tableau3[[#This Row],[HC Fin]]-Tableau3[[#This Row],[HC Début]]</f>
        <v>1313</v>
      </c>
      <c r="N12" s="22">
        <f>Tableau3[[#This Row],[Diff HP]]+Tableau3[[#This Row],[Diff HC]]</f>
        <v>4189</v>
      </c>
      <c r="O12" s="29">
        <f>Tableau3[[#This Row],[Total conso]]+N11+N10+N9</f>
        <v>13278</v>
      </c>
      <c r="P12" s="36"/>
      <c r="Q12" s="22">
        <f>Tableau3[[#This Row],[Total conso]]/Tableau3[[#This Row],[Diff jour]]</f>
        <v>68.672131147540981</v>
      </c>
      <c r="R12" s="22">
        <f>Tableau3[[#This Row],[Kwh / jour]]*365</f>
        <v>25065.327868852459</v>
      </c>
      <c r="S12" s="47">
        <f>Tableau3[[#This Row],[Montant TTC]]/Tableau3[[#This Row],[Total conso]]</f>
        <v>0.17303174982095967</v>
      </c>
      <c r="T12" s="36"/>
      <c r="U12" s="36">
        <f>(Tableau3[[#This Row],[Montant / Kwh]]-$S$12)/$S$12</f>
        <v>0</v>
      </c>
      <c r="V12" s="22">
        <f>Tableau3[[#This Row],[Date Fin]]-$A$12</f>
        <v>61</v>
      </c>
      <c r="W12" s="22">
        <f>(Tableau3[[#This Row],[HP Fin]]-$C$12)+(Tableau3[[#This Row],[HC Fin]]-$E$12)</f>
        <v>4189</v>
      </c>
      <c r="X12" s="22">
        <f>Tableau3[[#This Row],[Total HP + HC
depuis entrée]]/Tableau3[[#This Row],[Total jour
depuis entrée]]</f>
        <v>68.672131147540981</v>
      </c>
      <c r="Y12" s="22">
        <f>Tableau3[[#This Row],[Kwh / jour
depuis entrée]]*365</f>
        <v>25065.327868852459</v>
      </c>
      <c r="Z12" s="24">
        <f>IF(Z2&lt;&gt;Tableau3[[#Headers],[Montant TTC
depuis entrée]],Tableau3[[#This Row],[Montant TTC]]+Z2,Tableau3[[#This Row],[Montant TTC]])</f>
        <v>724.83</v>
      </c>
      <c r="AA12" s="47">
        <f>Tableau3[[#This Row],[Montant TTC
depuis entrée]]/Tableau3[[#This Row],[Total HP + HC
depuis entrée]]</f>
        <v>0.17303174982095967</v>
      </c>
      <c r="AB12" s="24">
        <f>Tableau3[[#This Row],[Montant TTC
depuis entrée]]/Tableau3[[#This Row],[Total jour
depuis entrée]]</f>
        <v>11.882459016393444</v>
      </c>
      <c r="AC12" s="24">
        <f>Tableau3[[#This Row],[Montant TTC / jour
depuis entrée]]*365</f>
        <v>4337.0975409836074</v>
      </c>
      <c r="AD12" s="26">
        <f>Tableau3[[#This Row],[Projection € 365j
depuis entrée]]/12</f>
        <v>361.42479508196726</v>
      </c>
      <c r="AE12" s="74">
        <f>Tableau3[[#This Row],[Kwh / jour
depuis entrée]]*Tableau3[[#This Row],[Montant / Kwh]]</f>
        <v>11.882459016393444</v>
      </c>
      <c r="AF12" s="74">
        <f>Tableau3[[#This Row],[Montant TTC / jour
depuis entrée
(dernier prix)]]*365</f>
        <v>4337.0975409836074</v>
      </c>
      <c r="AG12" s="74">
        <f>Tableau3[[#This Row],[Projection € 365j
depuis entrée
(dernier prix)]]/12</f>
        <v>361.42479508196726</v>
      </c>
    </row>
    <row r="13" spans="1:33" x14ac:dyDescent="0.2">
      <c r="A13" s="21">
        <v>44243</v>
      </c>
      <c r="B13" s="21">
        <v>44357</v>
      </c>
      <c r="C13" s="22">
        <f>D12</f>
        <v>182635</v>
      </c>
      <c r="D13" s="22">
        <v>185170</v>
      </c>
      <c r="E13" s="22">
        <f>F12</f>
        <v>120745</v>
      </c>
      <c r="F13" s="22">
        <v>122040</v>
      </c>
      <c r="G13" s="23">
        <v>702.14</v>
      </c>
      <c r="H13" s="36"/>
      <c r="I13" s="22">
        <f>Tableau3[Date Fin]-Tableau3[Date Début]</f>
        <v>114</v>
      </c>
      <c r="J13" s="24">
        <f>Tableau3[Montant TTC]/Tableau3[Diff jour]</f>
        <v>6.1591228070175434</v>
      </c>
      <c r="K13" s="24">
        <f>Tableau3[[#This Row],[Montant / jour]]*365</f>
        <v>2248.0798245614033</v>
      </c>
      <c r="L13" s="22">
        <f>Tableau3[[#This Row],[HP Fin]]-Tableau3[[#This Row],[HP Début]]</f>
        <v>2535</v>
      </c>
      <c r="M13" s="22">
        <f>Tableau3[[#This Row],[HC Fin]]-Tableau3[[#This Row],[HC Début]]</f>
        <v>1295</v>
      </c>
      <c r="N13" s="22">
        <f>Tableau3[[#This Row],[Diff HP]]+Tableau3[[#This Row],[Diff HC]]</f>
        <v>3830</v>
      </c>
      <c r="O13" s="29">
        <f>Tableau3[[#This Row],[Total conso]]+N12+N11+N10</f>
        <v>12546</v>
      </c>
      <c r="P13" s="36"/>
      <c r="Q13" s="22">
        <f>Tableau3[[#This Row],[Total conso]]/Tableau3[[#This Row],[Diff jour]]</f>
        <v>33.596491228070178</v>
      </c>
      <c r="R13" s="22">
        <f>Tableau3[[#This Row],[Kwh / jour]]*365</f>
        <v>12262.719298245614</v>
      </c>
      <c r="S13" s="47">
        <f>Tableau3[[#This Row],[Montant TTC]]/Tableau3[[#This Row],[Total conso]]</f>
        <v>0.18332637075718014</v>
      </c>
      <c r="T13" s="36"/>
      <c r="U13" s="36">
        <f>(Tableau3[[#This Row],[Montant / Kwh]]-$S$12)/$S$12</f>
        <v>5.9495560478770929E-2</v>
      </c>
      <c r="V13" s="22">
        <f>Tableau3[[#This Row],[Date Fin]]-$A$12</f>
        <v>175</v>
      </c>
      <c r="W13" s="22">
        <f>W12+Tableau3[[#This Row],[Total conso]]</f>
        <v>8019</v>
      </c>
      <c r="X13" s="22">
        <f>Tableau3[[#This Row],[Total HP + HC
depuis entrée]]/Tableau3[[#This Row],[Total jour
depuis entrée]]</f>
        <v>45.822857142857146</v>
      </c>
      <c r="Y13" s="22">
        <f>Tableau3[[#This Row],[Kwh / jour
depuis entrée]]*365</f>
        <v>16725.342857142859</v>
      </c>
      <c r="Z13" s="24">
        <f>Tableau3[[#This Row],[Montant TTC]]+Z12</f>
        <v>1426.97</v>
      </c>
      <c r="AA13" s="47">
        <f>Tableau3[[#This Row],[Montant TTC
depuis entrée]]/Tableau3[[#This Row],[Total HP + HC
depuis entrée]]</f>
        <v>0.1779486220226961</v>
      </c>
      <c r="AB13" s="24">
        <f>Tableau3[[#This Row],[Montant TTC
depuis entrée]]/Tableau3[[#This Row],[Total jour
depuis entrée]]</f>
        <v>8.1541142857142859</v>
      </c>
      <c r="AC13" s="24">
        <f>Tableau3[[#This Row],[Montant TTC / jour
depuis entrée]]*365</f>
        <v>2976.2517142857141</v>
      </c>
      <c r="AD13" s="26">
        <f>Tableau3[[#This Row],[Projection € 365j
depuis entrée]]/12</f>
        <v>248.02097619047618</v>
      </c>
      <c r="AE13" s="74">
        <f>Tableau3[[#This Row],[Kwh / jour
depuis entrée]]*Tableau3[[#This Row],[Montant / Kwh]]</f>
        <v>8.4005380977247288</v>
      </c>
      <c r="AF13" s="74">
        <f>Tableau3[[#This Row],[Montant TTC / jour
depuis entrée
(dernier prix)]]*365</f>
        <v>3066.196405669526</v>
      </c>
      <c r="AG13" s="74">
        <f>Tableau3[[#This Row],[Projection € 365j
depuis entrée
(dernier prix)]]/12</f>
        <v>255.51636713912717</v>
      </c>
    </row>
    <row r="14" spans="1:33" x14ac:dyDescent="0.2">
      <c r="A14" s="21">
        <v>44357</v>
      </c>
      <c r="B14" s="21">
        <v>44484</v>
      </c>
      <c r="C14" s="22">
        <f>D13</f>
        <v>185170</v>
      </c>
      <c r="D14" s="22">
        <v>186426</v>
      </c>
      <c r="E14" s="22">
        <f>F13</f>
        <v>122040</v>
      </c>
      <c r="F14" s="22">
        <v>122389</v>
      </c>
      <c r="G14" s="23">
        <v>342.69</v>
      </c>
      <c r="H14" s="36"/>
      <c r="I14" s="22">
        <f>Tableau3[Date Fin]-Tableau3[Date Début]</f>
        <v>127</v>
      </c>
      <c r="J14" s="24">
        <f>Tableau3[Montant TTC]/Tableau3[Diff jour]</f>
        <v>2.6983464566929132</v>
      </c>
      <c r="K14" s="24">
        <f>Tableau3[[#This Row],[Montant / jour]]*365</f>
        <v>984.89645669291326</v>
      </c>
      <c r="L14" s="22">
        <f>Tableau3[[#This Row],[HP Fin]]-Tableau3[[#This Row],[HP Début]]</f>
        <v>1256</v>
      </c>
      <c r="M14" s="22">
        <f>Tableau3[[#This Row],[HC Fin]]-Tableau3[[#This Row],[HC Début]]</f>
        <v>349</v>
      </c>
      <c r="N14" s="22">
        <f>Tableau3[[#This Row],[Diff HP]]+Tableau3[[#This Row],[Diff HC]]</f>
        <v>1605</v>
      </c>
      <c r="O14" s="29">
        <f>Tableau3[[#This Row],[Total conso]]+N13+N12+N11</f>
        <v>12448</v>
      </c>
      <c r="P14" s="36"/>
      <c r="Q14" s="22">
        <f>Tableau3[[#This Row],[Total conso]]/Tableau3[[#This Row],[Diff jour]]</f>
        <v>12.637795275590552</v>
      </c>
      <c r="R14" s="22">
        <f>Tableau3[[#This Row],[Kwh / jour]]*365</f>
        <v>4612.7952755905517</v>
      </c>
      <c r="S14" s="47">
        <f>Tableau3[[#This Row],[Montant TTC]]/Tableau3[[#This Row],[Total conso]]</f>
        <v>0.21351401869158879</v>
      </c>
      <c r="T14" s="36"/>
      <c r="U14" s="36">
        <f>(Tableau3[[#This Row],[Montant / Kwh]]-$S$12)/$S$12</f>
        <v>0.23395861691578071</v>
      </c>
      <c r="V14" s="22">
        <f>Tableau3[[#This Row],[Date Fin]]-$A$12</f>
        <v>302</v>
      </c>
      <c r="W14" s="22">
        <f>W13+Tableau3[[#This Row],[Total conso]]</f>
        <v>9624</v>
      </c>
      <c r="X14" s="22">
        <f>Tableau3[[#This Row],[Total HP + HC
depuis entrée]]/Tableau3[[#This Row],[Total jour
depuis entrée]]</f>
        <v>31.867549668874172</v>
      </c>
      <c r="Y14" s="22">
        <f>Tableau3[[#This Row],[Kwh / jour
depuis entrée]]*365</f>
        <v>11631.655629139073</v>
      </c>
      <c r="Z14" s="24">
        <f>Tableau3[[#This Row],[Montant TTC]]+Z13</f>
        <v>1769.66</v>
      </c>
      <c r="AA14" s="47">
        <f>Tableau3[[#This Row],[Montant TTC
depuis entrée]]/Tableau3[[#This Row],[Total HP + HC
depuis entrée]]</f>
        <v>0.18387988362427266</v>
      </c>
      <c r="AB14" s="24">
        <f>Tableau3[[#This Row],[Montant TTC
depuis entrée]]/Tableau3[[#This Row],[Total jour
depuis entrée]]</f>
        <v>5.8598013245033114</v>
      </c>
      <c r="AC14" s="24">
        <f>Tableau3[[#This Row],[Montant TTC / jour
depuis entrée]]*365</f>
        <v>2138.8274834437088</v>
      </c>
      <c r="AD14" s="26">
        <f>Tableau3[[#This Row],[Projection € 365j
depuis entrée]]/12</f>
        <v>178.23562362030907</v>
      </c>
      <c r="AE14" s="74">
        <f>Tableau3[[#This Row],[Kwh / jour
depuis entrée]]*Tableau3[[#This Row],[Montant / Kwh]]</f>
        <v>6.8041685956551339</v>
      </c>
      <c r="AF14" s="74">
        <f>Tableau3[[#This Row],[Montant TTC / jour
depuis entrée
(dernier prix)]]*365</f>
        <v>2483.5215374141239</v>
      </c>
      <c r="AG14" s="74">
        <f>Tableau3[[#This Row],[Projection € 365j
depuis entrée
(dernier prix)]]/12</f>
        <v>206.96012811784365</v>
      </c>
    </row>
    <row r="15" spans="1:33" x14ac:dyDescent="0.2">
      <c r="A15" s="21">
        <v>44484</v>
      </c>
      <c r="B15" s="21">
        <v>44601</v>
      </c>
      <c r="C15" s="22">
        <f>D14</f>
        <v>186426</v>
      </c>
      <c r="D15" s="22">
        <v>190887</v>
      </c>
      <c r="E15" s="22">
        <f>F14</f>
        <v>122389</v>
      </c>
      <c r="F15" s="22">
        <v>123990</v>
      </c>
      <c r="G15" s="23">
        <v>1093.31</v>
      </c>
      <c r="H15" s="36"/>
      <c r="I15" s="22">
        <f>Tableau3[Date Fin]-Tableau3[Date Début]</f>
        <v>117</v>
      </c>
      <c r="J15" s="24">
        <f>Tableau3[Montant TTC]/Tableau3[Diff jour]</f>
        <v>9.3445299145299145</v>
      </c>
      <c r="K15" s="24">
        <f>Tableau3[[#This Row],[Montant / jour]]*365</f>
        <v>3410.7534188034188</v>
      </c>
      <c r="L15" s="22">
        <f>Tableau3[[#This Row],[HP Fin]]-Tableau3[[#This Row],[HP Début]]</f>
        <v>4461</v>
      </c>
      <c r="M15" s="22">
        <f>Tableau3[[#This Row],[HC Fin]]-Tableau3[[#This Row],[HC Début]]</f>
        <v>1601</v>
      </c>
      <c r="N15" s="22">
        <f>Tableau3[[#This Row],[Diff HP]]+Tableau3[[#This Row],[Diff HC]]</f>
        <v>6062</v>
      </c>
      <c r="O15" s="29">
        <f>Tableau3[[#This Row],[Total conso]]+N14+N13</f>
        <v>11497</v>
      </c>
      <c r="P15" s="36"/>
      <c r="Q15" s="22">
        <f>Tableau3[[#This Row],[Total conso]]/Tableau3[[#This Row],[Diff jour]]</f>
        <v>51.811965811965813</v>
      </c>
      <c r="R15" s="22">
        <f>Tableau3[[#This Row],[Kwh / jour]]*365</f>
        <v>18911.367521367523</v>
      </c>
      <c r="S15" s="47">
        <f>Tableau3[[#This Row],[Montant TTC]]/Tableau3[[#This Row],[Total conso]]</f>
        <v>0.18035466842626194</v>
      </c>
      <c r="T15" s="36"/>
      <c r="U15" s="36">
        <f>(Tableau3[[#This Row],[Montant / Kwh]]-$S$12)/$S$12</f>
        <v>4.2321242274203856E-2</v>
      </c>
      <c r="V15" s="22">
        <f>Tableau3[[#This Row],[Date Fin]]-$A$12</f>
        <v>419</v>
      </c>
      <c r="W15" s="22">
        <f>W14+Tableau3[[#This Row],[Total conso]]</f>
        <v>15686</v>
      </c>
      <c r="X15" s="22">
        <f>Tableau3[[#This Row],[Total HP + HC
depuis entrée]]/Tableau3[[#This Row],[Total jour
depuis entrée]]</f>
        <v>37.436754176610975</v>
      </c>
      <c r="Y15" s="22">
        <f>Tableau3[[#This Row],[Kwh / jour
depuis entrée]]*365</f>
        <v>13664.415274463006</v>
      </c>
      <c r="Z15" s="24">
        <f>Tableau3[[#This Row],[Montant TTC]]+Z14</f>
        <v>2862.9700000000003</v>
      </c>
      <c r="AA15" s="47">
        <f>Tableau3[[#This Row],[Montant TTC
depuis entrée]]/Tableau3[[#This Row],[Total HP + HC
depuis entrée]]</f>
        <v>0.18251753155680225</v>
      </c>
      <c r="AB15" s="24">
        <f>Tableau3[[#This Row],[Montant TTC
depuis entrée]]/Tableau3[[#This Row],[Total jour
depuis entrée]]</f>
        <v>6.8328639618138434</v>
      </c>
      <c r="AC15" s="24">
        <f>Tableau3[[#This Row],[Montant TTC / jour
depuis entrée]]*365</f>
        <v>2493.9953460620527</v>
      </c>
      <c r="AD15" s="26">
        <f>Tableau3[[#This Row],[Projection € 365j
depuis entrée]]/12</f>
        <v>207.83294550517107</v>
      </c>
      <c r="AE15" s="74">
        <f>Tableau3[[#This Row],[Kwh / jour
depuis entrée]]*Tableau3[[#This Row],[Montant / Kwh]]</f>
        <v>6.751893386478149</v>
      </c>
      <c r="AF15" s="74">
        <f>Tableau3[[#This Row],[Montant TTC / jour
depuis entrée
(dernier prix)]]*365</f>
        <v>2464.4410860645244</v>
      </c>
      <c r="AG15" s="74">
        <f>Tableau3[[#This Row],[Projection € 365j
depuis entrée
(dernier prix)]]/12</f>
        <v>205.37009050537702</v>
      </c>
    </row>
    <row r="16" spans="1:33" x14ac:dyDescent="0.2">
      <c r="A16" s="28">
        <v>44601</v>
      </c>
      <c r="B16" s="28">
        <v>44732</v>
      </c>
      <c r="C16" s="29">
        <v>190887</v>
      </c>
      <c r="D16" s="29">
        <v>193283</v>
      </c>
      <c r="E16" s="29">
        <v>123990</v>
      </c>
      <c r="F16" s="29">
        <v>125247</v>
      </c>
      <c r="G16" s="30">
        <v>687.18</v>
      </c>
      <c r="H16" s="36">
        <f>(Tableau3[[#This Row],[Montant TTC]]-G13)/G13</f>
        <v>-2.1306292192440308E-2</v>
      </c>
      <c r="I16" s="29">
        <f>Tableau3[Date Fin]-Tableau3[Date Début]</f>
        <v>131</v>
      </c>
      <c r="J16" s="26">
        <f>Tableau3[Montant TTC]/Tableau3[Diff jour]</f>
        <v>5.2456488549618321</v>
      </c>
      <c r="K16" s="26">
        <f>Tableau3[[#This Row],[Montant / jour]]*365</f>
        <v>1914.6618320610687</v>
      </c>
      <c r="L16" s="29">
        <f>Tableau3[[#This Row],[HP Fin]]-Tableau3[[#This Row],[HP Début]]</f>
        <v>2396</v>
      </c>
      <c r="M16" s="29">
        <f>Tableau3[[#This Row],[HC Fin]]-Tableau3[[#This Row],[HC Début]]</f>
        <v>1257</v>
      </c>
      <c r="N16" s="29">
        <f>Tableau3[[#This Row],[Diff HP]]+Tableau3[[#This Row],[Diff HC]]</f>
        <v>3653</v>
      </c>
      <c r="O16" s="29">
        <f>Tableau3[[#This Row],[Total conso]]+N15+N14</f>
        <v>11320</v>
      </c>
      <c r="P16" s="36">
        <f>(Tableau3[[#This Row],[Total conso]]-N13)/N13</f>
        <v>-4.6214099216710186E-2</v>
      </c>
      <c r="Q16" s="29">
        <f>Tableau3[[#This Row],[Total conso]]/Tableau3[[#This Row],[Diff jour]]</f>
        <v>27.885496183206108</v>
      </c>
      <c r="R16" s="29">
        <f>Tableau3[[#This Row],[Kwh / jour]]*365</f>
        <v>10178.20610687023</v>
      </c>
      <c r="S16" s="48">
        <f>Tableau3[[#This Row],[Montant TTC]]/Tableau3[[#This Row],[Total conso]]</f>
        <v>0.18811387900355869</v>
      </c>
      <c r="T16" s="37">
        <f>(Tableau3[[#This Row],[Montant / Kwh]]-S13)/S13</f>
        <v>2.6114673118793768E-2</v>
      </c>
      <c r="U16" s="36">
        <f>(Tableau3[[#This Row],[Montant / Kwh]]-$S$12)/$S$12</f>
        <v>8.7163940711487226E-2</v>
      </c>
      <c r="V16" s="29">
        <f>Tableau3[[#This Row],[Date Fin]]-$A$12</f>
        <v>550</v>
      </c>
      <c r="W16" s="22">
        <f>W15+Tableau3[[#This Row],[Total conso]]</f>
        <v>19339</v>
      </c>
      <c r="X16" s="29">
        <f>Tableau3[[#This Row],[Total HP + HC
depuis entrée]]/Tableau3[[#This Row],[Total jour
depuis entrée]]</f>
        <v>35.161818181818184</v>
      </c>
      <c r="Y16" s="29">
        <f>Tableau3[[#This Row],[Kwh / jour
depuis entrée]]*365</f>
        <v>12834.063636363637</v>
      </c>
      <c r="Z16" s="24">
        <f>Tableau3[[#This Row],[Montant TTC]]+Z15</f>
        <v>3550.15</v>
      </c>
      <c r="AA16" s="47">
        <f>Tableau3[[#This Row],[Montant TTC
depuis entrée]]/Tableau3[[#This Row],[Total HP + HC
depuis entrée]]</f>
        <v>0.18357464191530068</v>
      </c>
      <c r="AB16" s="26">
        <f>Tableau3[[#This Row],[Montant TTC
depuis entrée]]/Tableau3[[#This Row],[Total jour
depuis entrée]]</f>
        <v>6.4548181818181822</v>
      </c>
      <c r="AC16" s="26">
        <f>Tableau3[[#This Row],[Montant TTC / jour
depuis entrée]]*365</f>
        <v>2356.0086363636365</v>
      </c>
      <c r="AD16" s="26">
        <f>Tableau3[[#This Row],[Projection € 365j
depuis entrée]]/12</f>
        <v>196.33405303030304</v>
      </c>
      <c r="AE16" s="74">
        <f>Tableau3[[#This Row],[Kwh / jour
depuis entrée]]*Tableau3[[#This Row],[Montant / Kwh]]</f>
        <v>6.6144260109996758</v>
      </c>
      <c r="AF16" s="74">
        <f>Tableau3[[#This Row],[Montant TTC / jour
depuis entrée
(dernier prix)]]*365</f>
        <v>2414.2654940148818</v>
      </c>
      <c r="AG16" s="74">
        <f>Tableau3[[#This Row],[Projection € 365j
depuis entrée
(dernier prix)]]/12</f>
        <v>201.18879116790683</v>
      </c>
    </row>
    <row r="17" spans="1:33" x14ac:dyDescent="0.2">
      <c r="A17" s="28">
        <v>44732</v>
      </c>
      <c r="B17" s="28">
        <v>44852</v>
      </c>
      <c r="C17" s="29">
        <v>193283</v>
      </c>
      <c r="D17" s="29">
        <v>194080</v>
      </c>
      <c r="E17" s="29">
        <v>125247</v>
      </c>
      <c r="F17" s="29">
        <v>125561</v>
      </c>
      <c r="G17" s="30">
        <v>254.7</v>
      </c>
      <c r="H17" s="36">
        <f>(Tableau3[[#This Row],[Montant TTC]]-G14)/G14</f>
        <v>-0.25676267180250373</v>
      </c>
      <c r="I17" s="29">
        <f>Tableau3[Date Fin]-Tableau3[Date Début]</f>
        <v>120</v>
      </c>
      <c r="J17" s="26">
        <f>Tableau3[Montant TTC]/Tableau3[Diff jour]</f>
        <v>2.1225000000000001</v>
      </c>
      <c r="K17" s="26">
        <f>Tableau3[[#This Row],[Montant / jour]]*365</f>
        <v>774.71249999999998</v>
      </c>
      <c r="L17" s="29">
        <f>Tableau3[[#This Row],[HP Fin]]-Tableau3[[#This Row],[HP Début]]</f>
        <v>797</v>
      </c>
      <c r="M17" s="29">
        <f>Tableau3[[#This Row],[HC Fin]]-Tableau3[[#This Row],[HC Début]]</f>
        <v>314</v>
      </c>
      <c r="N17" s="29">
        <f>Tableau3[[#This Row],[Diff HP]]+Tableau3[[#This Row],[Diff HC]]</f>
        <v>1111</v>
      </c>
      <c r="O17" s="29">
        <f>Tableau3[[#This Row],[Total conso]]+N16+N15</f>
        <v>10826</v>
      </c>
      <c r="P17" s="36">
        <f>(Tableau3[[#This Row],[Total conso]]-N14)/N14</f>
        <v>-0.30778816199376946</v>
      </c>
      <c r="Q17" s="29">
        <f>Tableau3[[#This Row],[Total conso]]/Tableau3[[#This Row],[Diff jour]]</f>
        <v>9.2583333333333329</v>
      </c>
      <c r="R17" s="29">
        <f>Tableau3[[#This Row],[Kwh / jour]]*365</f>
        <v>3379.2916666666665</v>
      </c>
      <c r="S17" s="48">
        <f>Tableau3[[#This Row],[Montant TTC]]/Tableau3[[#This Row],[Total conso]]</f>
        <v>0.22925292529252925</v>
      </c>
      <c r="T17" s="37">
        <f>(Tableau3[[#This Row],[Montant / Kwh]]-S14)/S14</f>
        <v>7.3713691950478388E-2</v>
      </c>
      <c r="U17" s="36">
        <f>(Tableau3[[#This Row],[Montant / Kwh]]-$S$12)/$S$12</f>
        <v>0.32491826228274895</v>
      </c>
      <c r="V17" s="29">
        <f>Tableau3[[#This Row],[Date Fin]]-$A$12</f>
        <v>670</v>
      </c>
      <c r="W17" s="22">
        <f>W16+Tableau3[[#This Row],[Total conso]]</f>
        <v>20450</v>
      </c>
      <c r="X17" s="29">
        <f>Tableau3[[#This Row],[Total HP + HC
depuis entrée]]/Tableau3[[#This Row],[Total jour
depuis entrée]]</f>
        <v>30.522388059701491</v>
      </c>
      <c r="Y17" s="29">
        <f>Tableau3[[#This Row],[Kwh / jour
depuis entrée]]*365</f>
        <v>11140.671641791045</v>
      </c>
      <c r="Z17" s="24">
        <f>Tableau3[[#This Row],[Montant TTC]]+Z16</f>
        <v>3804.85</v>
      </c>
      <c r="AA17" s="47">
        <f>Tableau3[[#This Row],[Montant TTC
depuis entrée]]/Tableau3[[#This Row],[Total HP + HC
depuis entrée]]</f>
        <v>0.1860562347188264</v>
      </c>
      <c r="AB17" s="26">
        <f>Tableau3[[#This Row],[Montant TTC
depuis entrée]]/Tableau3[[#This Row],[Total jour
depuis entrée]]</f>
        <v>5.678880597014925</v>
      </c>
      <c r="AC17" s="26">
        <f>Tableau3[[#This Row],[Montant TTC / jour
depuis entrée]]*365</f>
        <v>2072.7914179104478</v>
      </c>
      <c r="AD17" s="26">
        <f>Tableau3[[#This Row],[Projection € 365j
depuis entrée]]/12</f>
        <v>172.73261815920398</v>
      </c>
      <c r="AE17" s="74">
        <f>Tableau3[[#This Row],[Kwh / jour
depuis entrée]]*Tableau3[[#This Row],[Montant / Kwh]]</f>
        <v>6.9973467496003323</v>
      </c>
      <c r="AF17" s="74">
        <f>Tableau3[[#This Row],[Montant TTC / jour
depuis entrée
(dernier prix)]]*365</f>
        <v>2554.0315636041214</v>
      </c>
      <c r="AG17" s="74">
        <f>Tableau3[[#This Row],[Projection € 365j
depuis entrée
(dernier prix)]]/12</f>
        <v>212.83596363367678</v>
      </c>
    </row>
    <row r="18" spans="1:33" x14ac:dyDescent="0.2">
      <c r="A18" s="28">
        <v>44852</v>
      </c>
      <c r="B18" s="28">
        <v>44973</v>
      </c>
      <c r="C18" s="29">
        <v>194080</v>
      </c>
      <c r="D18" s="46">
        <f>195613+2248</f>
        <v>197861</v>
      </c>
      <c r="E18" s="29">
        <v>125561</v>
      </c>
      <c r="F18" s="46">
        <f>126128+1062</f>
        <v>127190</v>
      </c>
      <c r="G18" s="30">
        <v>1026.54</v>
      </c>
      <c r="H18" s="36">
        <f>(Tableau3[[#This Row],[Montant TTC]]-G15)/G15</f>
        <v>-6.1071425304808323E-2</v>
      </c>
      <c r="I18" s="29">
        <f>Tableau3[Date Fin]-Tableau3[Date Début]</f>
        <v>121</v>
      </c>
      <c r="J18" s="26">
        <f>Tableau3[Montant TTC]/Tableau3[Diff jour]</f>
        <v>8.4838016528925611</v>
      </c>
      <c r="K18" s="26">
        <f>Tableau3[[#This Row],[Montant / jour]]*365</f>
        <v>3096.5876033057848</v>
      </c>
      <c r="L18" s="29">
        <f>Tableau3[[#This Row],[HP Fin]]-Tableau3[[#This Row],[HP Début]]</f>
        <v>3781</v>
      </c>
      <c r="M18" s="29">
        <f>Tableau3[[#This Row],[HC Fin]]-Tableau3[[#This Row],[HC Début]]</f>
        <v>1629</v>
      </c>
      <c r="N18" s="29">
        <f>Tableau3[[#This Row],[Diff HP]]+Tableau3[[#This Row],[Diff HC]]</f>
        <v>5410</v>
      </c>
      <c r="O18" s="29">
        <f>Tableau3[[#This Row],[Total conso]]+N17+N16</f>
        <v>10174</v>
      </c>
      <c r="P18" s="36">
        <f>(Tableau3[[#This Row],[Total conso]]-N15)/N15</f>
        <v>-0.10755526228967338</v>
      </c>
      <c r="Q18" s="29">
        <f>Tableau3[[#This Row],[Total conso]]/Tableau3[[#This Row],[Diff jour]]</f>
        <v>44.710743801652896</v>
      </c>
      <c r="R18" s="29">
        <f>Tableau3[[#This Row],[Kwh / jour]]*365</f>
        <v>16319.421487603307</v>
      </c>
      <c r="S18" s="48">
        <f>Tableau3[[#This Row],[Montant TTC]]/Tableau3[[#This Row],[Total conso]]</f>
        <v>0.18974861367837337</v>
      </c>
      <c r="T18" s="37">
        <f>(Tableau3[[#This Row],[Montant / Kwh]]-S15)/S15</f>
        <v>5.2085955601155656E-2</v>
      </c>
      <c r="U18" s="36">
        <f>(Tableau3[[#This Row],[Montant / Kwh]]-$S$12)/$S$12</f>
        <v>9.6611540221439446E-2</v>
      </c>
      <c r="V18" s="29">
        <f>Tableau3[[#This Row],[Date Fin]]-$A$12</f>
        <v>791</v>
      </c>
      <c r="W18" s="22">
        <f>W17+Tableau3[[#This Row],[Total conso]]</f>
        <v>25860</v>
      </c>
      <c r="X18" s="29">
        <f>Tableau3[[#This Row],[Total HP + HC
depuis entrée]]/Tableau3[[#This Row],[Total jour
depuis entrée]]</f>
        <v>32.692793931731984</v>
      </c>
      <c r="Y18" s="29">
        <f>Tableau3[[#This Row],[Kwh / jour
depuis entrée]]*365</f>
        <v>11932.869785082174</v>
      </c>
      <c r="Z18" s="24">
        <f>Tableau3[[#This Row],[Montant TTC]]+Z17</f>
        <v>4831.3899999999994</v>
      </c>
      <c r="AA18" s="47">
        <f>Tableau3[[#This Row],[Montant TTC
depuis entrée]]/Tableau3[[#This Row],[Total HP + HC
depuis entrée]]</f>
        <v>0.18682869296210361</v>
      </c>
      <c r="AB18" s="26">
        <f>Tableau3[[#This Row],[Montant TTC
depuis entrée]]/Tableau3[[#This Row],[Total jour
depuis entrée]]</f>
        <v>6.107951959544879</v>
      </c>
      <c r="AC18" s="26">
        <f>Tableau3[[#This Row],[Montant TTC / jour
depuis entrée]]*365</f>
        <v>2229.4024652338808</v>
      </c>
      <c r="AD18" s="26">
        <f>Tableau3[[#This Row],[Projection € 365j
depuis entrée]]/12</f>
        <v>185.78353876949006</v>
      </c>
      <c r="AE18" s="74">
        <f>Tableau3[[#This Row],[Kwh / jour
depuis entrée]]*Tableau3[[#This Row],[Montant / Kwh]]</f>
        <v>6.2034123258188814</v>
      </c>
      <c r="AF18" s="74">
        <f>Tableau3[[#This Row],[Montant TTC / jour
depuis entrée
(dernier prix)]]*365</f>
        <v>2264.2454989238918</v>
      </c>
      <c r="AG18" s="74">
        <f>Tableau3[[#This Row],[Projection € 365j
depuis entrée
(dernier prix)]]/12</f>
        <v>188.68712491032431</v>
      </c>
    </row>
    <row r="19" spans="1:33" x14ac:dyDescent="0.2">
      <c r="A19" s="28">
        <v>44973</v>
      </c>
      <c r="B19" s="28">
        <v>45089</v>
      </c>
      <c r="C19" s="29">
        <v>2248</v>
      </c>
      <c r="D19" s="29">
        <v>4356</v>
      </c>
      <c r="E19" s="29">
        <v>1062</v>
      </c>
      <c r="F19" s="29">
        <v>2204</v>
      </c>
      <c r="G19" s="30">
        <v>718.31</v>
      </c>
      <c r="H19" s="36">
        <f>(Tableau3[[#This Row],[Montant TTC]]-G16)/G16</f>
        <v>4.5301085596204778E-2</v>
      </c>
      <c r="I19" s="29">
        <f>Tableau3[Date Fin]-Tableau3[Date Début]</f>
        <v>116</v>
      </c>
      <c r="J19" s="26">
        <f>Tableau3[Montant TTC]/Tableau3[Diff jour]</f>
        <v>6.1923275862068961</v>
      </c>
      <c r="K19" s="26">
        <f>Tableau3[[#This Row],[Montant / jour]]*365</f>
        <v>2260.1995689655168</v>
      </c>
      <c r="L19" s="29">
        <f>Tableau3[[#This Row],[HP Fin]]-Tableau3[[#This Row],[HP Début]]</f>
        <v>2108</v>
      </c>
      <c r="M19" s="29">
        <f>Tableau3[[#This Row],[HC Fin]]-Tableau3[[#This Row],[HC Début]]</f>
        <v>1142</v>
      </c>
      <c r="N19" s="29">
        <f>Tableau3[[#This Row],[Diff HP]]+Tableau3[[#This Row],[Diff HC]]</f>
        <v>3250</v>
      </c>
      <c r="O19" s="29">
        <f>Tableau3[[#This Row],[Total conso]]+N18+N17</f>
        <v>9771</v>
      </c>
      <c r="P19" s="36">
        <f>(Tableau3[[#This Row],[Total conso]]-N16)/N16</f>
        <v>-0.1103202846975089</v>
      </c>
      <c r="Q19" s="29">
        <f>Tableau3[[#This Row],[Total conso]]/Tableau3[[#This Row],[Diff jour]]</f>
        <v>28.017241379310345</v>
      </c>
      <c r="R19" s="29">
        <f>Tableau3[[#This Row],[Kwh / jour]]*365</f>
        <v>10226.293103448275</v>
      </c>
      <c r="S19" s="48">
        <f>Tableau3[[#This Row],[Montant TTC]]/Tableau3[[#This Row],[Total conso]]</f>
        <v>0.22101846153846152</v>
      </c>
      <c r="T19" s="37">
        <f>(Tableau3[[#This Row],[Montant / Kwh]]-S16)/S16</f>
        <v>0.17491842021013426</v>
      </c>
      <c r="U19" s="36">
        <f>(Tableau3[[#This Row],[Montant / Kwh]]-$S$12)/$S$12</f>
        <v>0.27732893973016465</v>
      </c>
      <c r="V19" s="29">
        <f>Tableau3[[#This Row],[Date Fin]]-$A$12</f>
        <v>907</v>
      </c>
      <c r="W19" s="22">
        <f>W18+Tableau3[[#This Row],[Total conso]]</f>
        <v>29110</v>
      </c>
      <c r="X19" s="29">
        <f>Tableau3[[#This Row],[Total HP + HC
depuis entrée]]/Tableau3[[#This Row],[Total jour
depuis entrée]]</f>
        <v>32.094818081587654</v>
      </c>
      <c r="Y19" s="29">
        <f>Tableau3[[#This Row],[Kwh / jour
depuis entrée]]*365</f>
        <v>11714.608599779494</v>
      </c>
      <c r="Z19" s="24">
        <f>Tableau3[[#This Row],[Montant TTC]]+Z18</f>
        <v>5549.6999999999989</v>
      </c>
      <c r="AA19" s="48">
        <f>Tableau3[[#This Row],[Montant TTC
depuis entrée]]/Tableau3[[#This Row],[Total HP + HC
depuis entrée]]</f>
        <v>0.19064582617657158</v>
      </c>
      <c r="AB19" s="26">
        <f>Tableau3[[#This Row],[Montant TTC
depuis entrée]]/Tableau3[[#This Row],[Total jour
depuis entrée]]</f>
        <v>6.1187431091510458</v>
      </c>
      <c r="AC19" s="26">
        <f>Tableau3[[#This Row],[Montant TTC / jour
depuis entrée]]*365</f>
        <v>2233.3412348401316</v>
      </c>
      <c r="AD19" s="26">
        <f>Tableau3[[#This Row],[Projection € 365j
depuis entrée]]/12</f>
        <v>186.11176957001098</v>
      </c>
      <c r="AE19" s="74">
        <f>Tableau3[[#This Row],[Kwh / jour
depuis entrée]]*Tableau3[[#This Row],[Montant / Kwh]]</f>
        <v>7.0935473157493005</v>
      </c>
      <c r="AF19" s="74">
        <f>Tableau3[[#This Row],[Montant TTC / jour
depuis entrée
(dernier prix)]]*365</f>
        <v>2589.1447702484948</v>
      </c>
      <c r="AG19" s="74">
        <f>Tableau3[[#This Row],[Projection € 365j
depuis entrée
(dernier prix)]]/12</f>
        <v>215.76206418737456</v>
      </c>
    </row>
    <row r="20" spans="1:33" x14ac:dyDescent="0.2">
      <c r="A20" s="28">
        <v>45089</v>
      </c>
      <c r="B20" s="28">
        <v>45211</v>
      </c>
      <c r="C20" s="29">
        <v>4356</v>
      </c>
      <c r="D20" s="29">
        <v>4993</v>
      </c>
      <c r="E20" s="29">
        <v>2204</v>
      </c>
      <c r="F20" s="29">
        <v>2483</v>
      </c>
      <c r="G20" s="30">
        <v>266.47000000000003</v>
      </c>
      <c r="H20" s="36">
        <f>(Tableau3[[#This Row],[Montant TTC]]-G17)/G17</f>
        <v>4.6211228896741417E-2</v>
      </c>
      <c r="I20" s="29">
        <f>Tableau3[Date Fin]-Tableau3[Date Début]</f>
        <v>122</v>
      </c>
      <c r="J20" s="26">
        <f>Tableau3[Montant TTC]/Tableau3[Diff jour]</f>
        <v>2.1841803278688525</v>
      </c>
      <c r="K20" s="26">
        <f>Tableau3[[#This Row],[Montant / jour]]*365</f>
        <v>797.22581967213114</v>
      </c>
      <c r="L20" s="29">
        <f>Tableau3[[#This Row],[HP Fin]]-Tableau3[[#This Row],[HP Début]]</f>
        <v>637</v>
      </c>
      <c r="M20" s="29">
        <f>Tableau3[[#This Row],[HC Fin]]-Tableau3[[#This Row],[HC Début]]</f>
        <v>279</v>
      </c>
      <c r="N20" s="29">
        <f>Tableau3[[#This Row],[Diff HP]]+Tableau3[[#This Row],[Diff HC]]</f>
        <v>916</v>
      </c>
      <c r="O20" s="29">
        <f>Tableau3[[#This Row],[Total conso]]+N19+N18</f>
        <v>9576</v>
      </c>
      <c r="P20" s="36">
        <f>(Tableau3[[#This Row],[Total conso]]-N17)/N17</f>
        <v>-0.17551755175517553</v>
      </c>
      <c r="Q20" s="29">
        <f>Tableau3[[#This Row],[Total conso]]/Tableau3[[#This Row],[Diff jour]]</f>
        <v>7.5081967213114753</v>
      </c>
      <c r="R20" s="29">
        <f>Tableau3[[#This Row],[Kwh / jour]]*365</f>
        <v>2740.4918032786886</v>
      </c>
      <c r="S20" s="48">
        <f>Tableau3[[#This Row],[Montant TTC]]/Tableau3[[#This Row],[Total conso]]</f>
        <v>0.29090611353711793</v>
      </c>
      <c r="T20" s="37">
        <f>(Tableau3[[#This Row],[Montant / Kwh]]-S17)/S17</f>
        <v>0.26893086823611317</v>
      </c>
      <c r="U20" s="36">
        <f>(Tableau3[[#This Row],[Montant / Kwh]]-$S$12)/$S$12</f>
        <v>0.68122968090033098</v>
      </c>
      <c r="V20" s="29">
        <f>Tableau3[[#This Row],[Date Fin]]-$A$12</f>
        <v>1029</v>
      </c>
      <c r="W20" s="22">
        <f>W19+Tableau3[[#This Row],[Total conso]]</f>
        <v>30026</v>
      </c>
      <c r="X20" s="29">
        <f>Tableau3[[#This Row],[Total HP + HC
depuis entrée]]/Tableau3[[#This Row],[Total jour
depuis entrée]]</f>
        <v>29.179786200194364</v>
      </c>
      <c r="Y20" s="29">
        <f>Tableau3[[#This Row],[Kwh / jour
depuis entrée]]*365</f>
        <v>10650.621963070944</v>
      </c>
      <c r="Z20" s="24">
        <f>Tableau3[[#This Row],[Montant TTC]]+Z19</f>
        <v>5816.1699999999992</v>
      </c>
      <c r="AA20" s="48">
        <f>Tableau3[[#This Row],[Montant TTC
depuis entrée]]/Tableau3[[#This Row],[Total HP + HC
depuis entrée]]</f>
        <v>0.19370445613801368</v>
      </c>
      <c r="AB20" s="26">
        <f>Tableau3[[#This Row],[Montant TTC
depuis entrée]]/Tableau3[[#This Row],[Total jour
depuis entrée]]</f>
        <v>5.6522546161321667</v>
      </c>
      <c r="AC20" s="26">
        <f>Tableau3[[#This Row],[Montant TTC / jour
depuis entrée]]*365</f>
        <v>2063.072934888241</v>
      </c>
      <c r="AD20" s="26">
        <f>Tableau3[[#This Row],[Projection € 365j
depuis entrée]]/12</f>
        <v>171.92274457402007</v>
      </c>
      <c r="AE20" s="74">
        <f>Tableau3[[#This Row],[Kwh / jour
depuis entrée]]*Tableau3[[#This Row],[Montant / Kwh]]</f>
        <v>8.4885781973425694</v>
      </c>
      <c r="AF20" s="74">
        <f>Tableau3[[#This Row],[Montant TTC / jour
depuis entrée
(dernier prix)]]*365</f>
        <v>3098.3310420300377</v>
      </c>
      <c r="AG20" s="74">
        <f>Tableau3[[#This Row],[Projection € 365j
depuis entrée
(dernier prix)]]/12</f>
        <v>258.19425350250316</v>
      </c>
    </row>
    <row r="21" spans="1:33" x14ac:dyDescent="0.2">
      <c r="A21" s="28">
        <v>45211</v>
      </c>
      <c r="B21" s="28">
        <v>45334</v>
      </c>
      <c r="C21" s="29">
        <v>4993</v>
      </c>
      <c r="D21" s="29">
        <v>8358</v>
      </c>
      <c r="E21" s="29">
        <v>2483</v>
      </c>
      <c r="F21" s="29">
        <v>4228</v>
      </c>
      <c r="G21" s="30">
        <v>1225.49</v>
      </c>
      <c r="H21" s="36">
        <f>(Tableau3[[#This Row],[Montant TTC]]-G18)/G18</f>
        <v>0.19380637870906156</v>
      </c>
      <c r="I21" s="29">
        <f>Tableau3[Date Fin]-Tableau3[Date Début]</f>
        <v>123</v>
      </c>
      <c r="J21" s="26">
        <f>Tableau3[Montant TTC]/Tableau3[Diff jour]</f>
        <v>9.9633333333333329</v>
      </c>
      <c r="K21" s="26">
        <f>Tableau3[[#This Row],[Montant / jour]]*365</f>
        <v>3636.6166666666663</v>
      </c>
      <c r="L21" s="29">
        <f>Tableau3[[#This Row],[HP Fin]]-Tableau3[[#This Row],[HP Début]]</f>
        <v>3365</v>
      </c>
      <c r="M21" s="29">
        <f>Tableau3[[#This Row],[HC Fin]]-Tableau3[[#This Row],[HC Début]]</f>
        <v>1745</v>
      </c>
      <c r="N21" s="29">
        <f>Tableau3[[#This Row],[Diff HP]]+Tableau3[[#This Row],[Diff HC]]</f>
        <v>5110</v>
      </c>
      <c r="O21" s="29">
        <f>Tableau3[[#This Row],[Total conso]]+N20+N19</f>
        <v>9276</v>
      </c>
      <c r="P21" s="36">
        <f>(Tableau3[[#This Row],[Total conso]]-N18)/N18</f>
        <v>-5.545286506469501E-2</v>
      </c>
      <c r="Q21" s="29">
        <f>Tableau3[[#This Row],[Total conso]]/Tableau3[[#This Row],[Diff jour]]</f>
        <v>41.544715447154474</v>
      </c>
      <c r="R21" s="29">
        <f>Tableau3[[#This Row],[Kwh / jour]]*365</f>
        <v>15163.821138211382</v>
      </c>
      <c r="S21" s="48">
        <f>Tableau3[[#This Row],[Montant TTC]]/Tableau3[[#This Row],[Total conso]]</f>
        <v>0.23982191780821918</v>
      </c>
      <c r="T21" s="37">
        <f>(Tableau3[[#This Row],[Montant / Kwh]]-S18)/S18</f>
        <v>0.26389285886810632</v>
      </c>
      <c r="U21" s="36">
        <f>(Tableau3[[#This Row],[Montant / Kwh]]-$S$12)/$S$12</f>
        <v>0.38599949463823247</v>
      </c>
      <c r="V21" s="29">
        <f>Tableau3[[#This Row],[Date Fin]]-$A$12</f>
        <v>1152</v>
      </c>
      <c r="W21" s="22">
        <f>W20+Tableau3[[#This Row],[Total conso]]</f>
        <v>35136</v>
      </c>
      <c r="X21" s="29">
        <f>Tableau3[[#This Row],[Total HP + HC
depuis entrée]]/Tableau3[[#This Row],[Total jour
depuis entrée]]</f>
        <v>30.5</v>
      </c>
      <c r="Y21" s="29">
        <f>Tableau3[[#This Row],[Kwh / jour
depuis entrée]]*365</f>
        <v>11132.5</v>
      </c>
      <c r="Z21" s="24">
        <f>Tableau3[[#This Row],[Montant TTC]]+Z20</f>
        <v>7041.6599999999989</v>
      </c>
      <c r="AA21" s="48">
        <f>Tableau3[[#This Row],[Montant TTC
depuis entrée]]/Tableau3[[#This Row],[Total HP + HC
depuis entrée]]</f>
        <v>0.20041154371584696</v>
      </c>
      <c r="AB21" s="26">
        <f>Tableau3[[#This Row],[Montant TTC
depuis entrée]]/Tableau3[[#This Row],[Total jour
depuis entrée]]</f>
        <v>6.1125520833333322</v>
      </c>
      <c r="AC21" s="26">
        <f>Tableau3[[#This Row],[Montant TTC / jour
depuis entrée]]*365</f>
        <v>2231.0815104166663</v>
      </c>
      <c r="AD21" s="26">
        <f>Tableau3[[#This Row],[Projection € 365j
depuis entrée]]/12</f>
        <v>185.92345920138885</v>
      </c>
      <c r="AE21" s="74">
        <f>Tableau3[[#This Row],[Kwh / jour
depuis entrée]]*Tableau3[[#This Row],[Montant / Kwh]]</f>
        <v>7.3145684931506851</v>
      </c>
      <c r="AF21" s="74">
        <f>Tableau3[[#This Row],[Montant TTC / jour
depuis entrée
(dernier prix)]]*365</f>
        <v>2669.8175000000001</v>
      </c>
      <c r="AG21" s="74">
        <f>Tableau3[[#This Row],[Projection € 365j
depuis entrée
(dernier prix)]]/12</f>
        <v>222.48479166666667</v>
      </c>
    </row>
    <row r="22" spans="1:33" x14ac:dyDescent="0.2">
      <c r="A22" s="28">
        <v>45334</v>
      </c>
      <c r="B22" s="28">
        <v>45455</v>
      </c>
      <c r="C22" s="29">
        <v>8358</v>
      </c>
      <c r="D22" s="29">
        <v>10527</v>
      </c>
      <c r="E22" s="29">
        <v>4228</v>
      </c>
      <c r="F22" s="29">
        <v>5263</v>
      </c>
      <c r="G22" s="30">
        <v>866.45</v>
      </c>
      <c r="H22" s="36">
        <f>(Tableau3[[#This Row],[Montant TTC]]-G19)/G19</f>
        <v>0.20623407720900463</v>
      </c>
      <c r="I22" s="29">
        <f>Tableau3[Date Fin]-Tableau3[Date Début]</f>
        <v>121</v>
      </c>
      <c r="J22" s="26">
        <f>Tableau3[Montant TTC]/Tableau3[Diff jour]</f>
        <v>7.1607438016528926</v>
      </c>
      <c r="K22" s="26">
        <f>Tableau3[[#This Row],[Montant / jour]]*365</f>
        <v>2613.6714876033056</v>
      </c>
      <c r="L22" s="29">
        <f>Tableau3[[#This Row],[HP Fin]]-Tableau3[[#This Row],[HP Début]]</f>
        <v>2169</v>
      </c>
      <c r="M22" s="29">
        <f>Tableau3[[#This Row],[HC Fin]]-Tableau3[[#This Row],[HC Début]]</f>
        <v>1035</v>
      </c>
      <c r="N22" s="29">
        <f>Tableau3[[#This Row],[Diff HP]]+Tableau3[[#This Row],[Diff HC]]</f>
        <v>3204</v>
      </c>
      <c r="O22" s="29">
        <f>Tableau3[[#This Row],[Total conso]]+N21+N20</f>
        <v>9230</v>
      </c>
      <c r="P22" s="36">
        <f>(Tableau3[[#This Row],[Total conso]]-N19)/N19</f>
        <v>-1.4153846153846154E-2</v>
      </c>
      <c r="Q22" s="29">
        <f>Tableau3[[#This Row],[Total conso]]/Tableau3[[#This Row],[Diff jour]]</f>
        <v>26.479338842975206</v>
      </c>
      <c r="R22" s="29">
        <f>Tableau3[[#This Row],[Kwh / jour]]*365</f>
        <v>9664.9586776859505</v>
      </c>
      <c r="S22" s="48">
        <f>Tableau3[[#This Row],[Montant TTC]]/Tableau3[[#This Row],[Total conso]]</f>
        <v>0.27042759051186022</v>
      </c>
      <c r="T22" s="37">
        <f>(Tableau3[[#This Row],[Montant / Kwh]]-S19)/S19</f>
        <v>0.22355204460963338</v>
      </c>
      <c r="U22" s="37">
        <f>(Tableau3[[#This Row],[Montant / Kwh]]-$S$12)/$S$12</f>
        <v>0.56287843584589814</v>
      </c>
      <c r="V22" s="29">
        <f>Tableau3[[#This Row],[Date Fin]]-$A$12</f>
        <v>1273</v>
      </c>
      <c r="W22" s="22">
        <f>W21+Tableau3[[#This Row],[Total conso]]</f>
        <v>38340</v>
      </c>
      <c r="X22" s="29">
        <f>Tableau3[[#This Row],[Total HP + HC
depuis entrée]]/Tableau3[[#This Row],[Total jour
depuis entrée]]</f>
        <v>30.11783189316575</v>
      </c>
      <c r="Y22" s="29">
        <f>Tableau3[[#This Row],[Kwh / jour
depuis entrée]]*365</f>
        <v>10993.008641005499</v>
      </c>
      <c r="Z22" s="24">
        <f>Tableau3[[#This Row],[Montant TTC]]+Z21</f>
        <v>7908.1099999999988</v>
      </c>
      <c r="AA22" s="48">
        <f>Tableau3[[#This Row],[Montant TTC
depuis entrée]]/Tableau3[[#This Row],[Total HP + HC
depuis entrée]]</f>
        <v>0.20626264997391755</v>
      </c>
      <c r="AB22" s="26">
        <f>Tableau3[[#This Row],[Montant TTC
depuis entrée]]/Tableau3[[#This Row],[Total jour
depuis entrée]]</f>
        <v>6.2121838177533375</v>
      </c>
      <c r="AC22" s="26">
        <f>Tableau3[[#This Row],[Montant TTC / jour
depuis entrée]]*365</f>
        <v>2267.4470934799683</v>
      </c>
      <c r="AD22" s="26">
        <f>Tableau3[[#This Row],[Projection € 365j
depuis entrée]]/12</f>
        <v>188.95392445666403</v>
      </c>
      <c r="AE22" s="74">
        <f>Tableau3[[#This Row],[Kwh / jour
depuis entrée]]*Tableau3[[#This Row],[Montant / Kwh]]</f>
        <v>8.1446927103100712</v>
      </c>
      <c r="AF22" s="74">
        <f>Tableau3[[#This Row],[Montant TTC / jour
depuis entrée
(dernier prix)]]*365</f>
        <v>2972.8128392631761</v>
      </c>
      <c r="AG22" s="74">
        <f>Tableau3[[#This Row],[Projection € 365j
depuis entrée
(dernier prix)]]/12</f>
        <v>247.73440327193134</v>
      </c>
    </row>
    <row r="23" spans="1:33" x14ac:dyDescent="0.2">
      <c r="A23" s="28">
        <v>45455</v>
      </c>
      <c r="B23" s="28">
        <v>45577</v>
      </c>
      <c r="C23" s="29">
        <v>10527</v>
      </c>
      <c r="D23" s="29">
        <v>11709</v>
      </c>
      <c r="E23" s="29">
        <v>5263</v>
      </c>
      <c r="F23" s="29">
        <v>5703</v>
      </c>
      <c r="G23" s="30">
        <v>476.93</v>
      </c>
      <c r="H23" s="36">
        <f>(Tableau3[[#This Row],[Montant TTC]]-G20)/G20</f>
        <v>0.78980748301872616</v>
      </c>
      <c r="I23" s="29">
        <f>Tableau3[Date Fin]-Tableau3[Date Début]</f>
        <v>122</v>
      </c>
      <c r="J23" s="26">
        <f>Tableau3[Montant TTC]/Tableau3[Diff jour]</f>
        <v>3.9092622950819673</v>
      </c>
      <c r="K23" s="26">
        <f>Tableau3[[#This Row],[Montant / jour]]*365</f>
        <v>1426.8807377049181</v>
      </c>
      <c r="L23" s="29">
        <f>Tableau3[[#This Row],[HP Fin]]-Tableau3[[#This Row],[HP Début]]</f>
        <v>1182</v>
      </c>
      <c r="M23" s="29">
        <f>Tableau3[[#This Row],[HC Fin]]-Tableau3[[#This Row],[HC Début]]</f>
        <v>440</v>
      </c>
      <c r="N23" s="29">
        <f>Tableau3[[#This Row],[Diff HP]]+Tableau3[[#This Row],[Diff HC]]</f>
        <v>1622</v>
      </c>
      <c r="O23" s="29">
        <f>Tableau3[[#This Row],[Total conso]]+N22+N21</f>
        <v>9936</v>
      </c>
      <c r="P23" s="36">
        <f>(Tableau3[[#This Row],[Total conso]]-N20)/N20</f>
        <v>0.77074235807860259</v>
      </c>
      <c r="Q23" s="29">
        <f>Tableau3[[#This Row],[Total conso]]/Tableau3[[#This Row],[Diff jour]]</f>
        <v>13.295081967213115</v>
      </c>
      <c r="R23" s="29">
        <f>Tableau3[[#This Row],[Kwh / jour]]*365</f>
        <v>4852.7049180327867</v>
      </c>
      <c r="S23" s="48">
        <f>Tableau3[[#This Row],[Montant TTC]]/Tableau3[[#This Row],[Total conso]]</f>
        <v>0.29403822441430333</v>
      </c>
      <c r="T23" s="37">
        <f>(Tableau3[[#This Row],[Montant / Kwh]]-S20)/S20</f>
        <v>1.0766741334866317E-2</v>
      </c>
      <c r="U23" s="37">
        <f>(Tableau3[[#This Row],[Montant / Kwh]]-$S$12)/$S$12</f>
        <v>0.69933104599908469</v>
      </c>
      <c r="V23" s="29">
        <f>Tableau3[[#This Row],[Date Fin]]-$A$12</f>
        <v>1395</v>
      </c>
      <c r="W23" s="22">
        <f>W22+Tableau3[[#This Row],[Total conso]]</f>
        <v>39962</v>
      </c>
      <c r="X23" s="29">
        <f>Tableau3[[#This Row],[Total HP + HC
depuis entrée]]/Tableau3[[#This Row],[Total jour
depuis entrée]]</f>
        <v>28.646594982078852</v>
      </c>
      <c r="Y23" s="29">
        <f>Tableau3[[#This Row],[Kwh / jour
depuis entrée]]*365</f>
        <v>10456.007168458782</v>
      </c>
      <c r="Z23" s="24">
        <f>Tableau3[[#This Row],[Montant TTC]]+Z22</f>
        <v>8385.0399999999991</v>
      </c>
      <c r="AA23" s="48">
        <f>Tableau3[[#This Row],[Montant TTC
depuis entrée]]/Tableau3[[#This Row],[Total HP + HC
depuis entrée]]</f>
        <v>0.20982533406736398</v>
      </c>
      <c r="AB23" s="26">
        <f>Tableau3[[#This Row],[Montant TTC
depuis entrée]]/Tableau3[[#This Row],[Total jour
depuis entrée]]</f>
        <v>6.0107813620071679</v>
      </c>
      <c r="AC23" s="26">
        <f>Tableau3[[#This Row],[Montant TTC / jour
depuis entrée]]*365</f>
        <v>2193.9351971326164</v>
      </c>
      <c r="AD23" s="26">
        <f>Tableau3[[#This Row],[Projection € 365j
depuis entrée]]/12</f>
        <v>182.82793309438469</v>
      </c>
      <c r="AE23" s="74">
        <f>Tableau3[[#This Row],[Kwh / jour
depuis entrée]]*Tableau3[[#This Row],[Montant / Kwh]]</f>
        <v>8.4231939240461564</v>
      </c>
      <c r="AF23" s="74">
        <f>Tableau3[[#This Row],[Montant TTC / jour
depuis entrée
(dernier prix)]]*365</f>
        <v>3074.4657822768472</v>
      </c>
      <c r="AG23" s="74">
        <f>Tableau3[[#This Row],[Projection € 365j
depuis entrée
(dernier prix)]]/12</f>
        <v>256.20548185640394</v>
      </c>
    </row>
    <row r="28" spans="1:33" x14ac:dyDescent="0.2">
      <c r="K28" s="57">
        <f>K22/K15</f>
        <v>0.76630326695391826</v>
      </c>
      <c r="L28" s="19">
        <f>SUM(Tableau3[Diff HP])</f>
        <v>29381</v>
      </c>
      <c r="M28" s="19">
        <f>SUM(Tableau3[Diff HC])</f>
        <v>13405</v>
      </c>
      <c r="N28" s="19">
        <f>SUM(Tableau3[Total conso])</f>
        <v>84242</v>
      </c>
      <c r="R28" s="57">
        <f>R22/R15</f>
        <v>0.51106609116266888</v>
      </c>
    </row>
    <row r="29" spans="1:33" x14ac:dyDescent="0.2">
      <c r="L29" s="57">
        <f>L28/N28</f>
        <v>0.34876902257781156</v>
      </c>
      <c r="M29" s="57">
        <f>M28/N28</f>
        <v>0.15912490206785215</v>
      </c>
    </row>
    <row r="30" spans="1:33" x14ac:dyDescent="0.2">
      <c r="L30" s="72">
        <f>L28/V23</f>
        <v>21.061648745519712</v>
      </c>
      <c r="M30" s="72">
        <f>M28/V23</f>
        <v>9.6093189964157713</v>
      </c>
    </row>
    <row r="31" spans="1:33" x14ac:dyDescent="0.2">
      <c r="L31" s="72">
        <f>L30*365</f>
        <v>7687.5017921146946</v>
      </c>
      <c r="M31" s="72">
        <f>M30*365</f>
        <v>3507.4014336917567</v>
      </c>
      <c r="N31" s="72">
        <f>L31+M31</f>
        <v>11194.903225806451</v>
      </c>
      <c r="O31" s="7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8"/>
  <sheetViews>
    <sheetView showRowColHeaders="0" zoomScaleNormal="100" workbookViewId="0">
      <selection activeCell="E55" sqref="E55"/>
    </sheetView>
  </sheetViews>
  <sheetFormatPr baseColWidth="10" defaultRowHeight="11.25" x14ac:dyDescent="0.2"/>
  <cols>
    <col min="1" max="1" width="10" style="19" bestFit="1" customWidth="1"/>
    <col min="2" max="2" width="10.85546875" style="19" bestFit="1" customWidth="1"/>
    <col min="3" max="3" width="14.28515625" style="19" bestFit="1" customWidth="1"/>
    <col min="4" max="4" width="13.7109375" style="19" bestFit="1" customWidth="1"/>
    <col min="5" max="5" width="17.140625" style="19" bestFit="1" customWidth="1"/>
    <col min="6" max="6" width="12.28515625" style="19" bestFit="1" customWidth="1"/>
    <col min="7" max="7" width="13" style="19" bestFit="1" customWidth="1"/>
    <col min="8" max="8" width="15.85546875" style="19" bestFit="1" customWidth="1"/>
    <col min="9" max="9" width="11" style="19" bestFit="1" customWidth="1"/>
    <col min="10" max="10" width="13" style="19" bestFit="1" customWidth="1"/>
    <col min="11" max="11" width="15.85546875" style="19" bestFit="1" customWidth="1"/>
    <col min="12" max="12" width="11" style="19" bestFit="1" customWidth="1"/>
    <col min="13" max="13" width="14.140625" style="19" bestFit="1" customWidth="1"/>
    <col min="14" max="14" width="14.7109375" style="19" bestFit="1" customWidth="1"/>
    <col min="15" max="15" width="13.42578125" style="19" bestFit="1" customWidth="1"/>
    <col min="16" max="16" width="12.28515625" style="19" bestFit="1" customWidth="1"/>
    <col min="17" max="16384" width="11.42578125" style="19"/>
  </cols>
  <sheetData>
    <row r="1" spans="1:17" ht="22.5" x14ac:dyDescent="0.2">
      <c r="A1" s="19" t="s">
        <v>9</v>
      </c>
      <c r="B1" s="19" t="s">
        <v>52</v>
      </c>
      <c r="C1" s="19" t="s">
        <v>57</v>
      </c>
      <c r="D1" s="19" t="s">
        <v>53</v>
      </c>
      <c r="E1" s="19" t="s">
        <v>58</v>
      </c>
      <c r="F1" s="33" t="s">
        <v>59</v>
      </c>
      <c r="G1" s="44" t="s">
        <v>65</v>
      </c>
      <c r="H1" s="44" t="s">
        <v>66</v>
      </c>
      <c r="I1" s="33" t="s">
        <v>54</v>
      </c>
      <c r="J1" s="44" t="s">
        <v>67</v>
      </c>
      <c r="K1" s="44" t="s">
        <v>68</v>
      </c>
      <c r="L1" s="33" t="s">
        <v>55</v>
      </c>
      <c r="M1" s="33" t="s">
        <v>56</v>
      </c>
      <c r="N1" s="33" t="s">
        <v>60</v>
      </c>
      <c r="O1" s="33" t="s">
        <v>61</v>
      </c>
      <c r="P1" s="33" t="s">
        <v>62</v>
      </c>
      <c r="Q1" s="35" t="s">
        <v>64</v>
      </c>
    </row>
    <row r="2" spans="1:17" x14ac:dyDescent="0.2">
      <c r="A2" s="19">
        <v>2021</v>
      </c>
      <c r="B2" s="19" t="e">
        <f>MATCH(Tableau4[[#This Row],[Année]],tabSuiviConso[Année],0)</f>
        <v>#N/A</v>
      </c>
      <c r="C2" s="1" t="e">
        <f>INDEX(tabSuiviConso[Date],Tableau4[[#This Row],[1er jour]],1)</f>
        <v>#N/A</v>
      </c>
      <c r="D2" s="19" t="e">
        <f>MATCH(Tableau4[[#This Row],[Année]],tabSuiviConso[Année last],0)</f>
        <v>#N/A</v>
      </c>
      <c r="E2" s="1" t="e">
        <f>INDEX(tabSuiviConso[Date],Tableau4[[#This Row],[Dernier jour]],1)</f>
        <v>#N/A</v>
      </c>
      <c r="F2" s="32" t="e">
        <f>Tableau4[[#This Row],[Date Dernier jour]]-Tableau4[[#This Row],[Date 1er jour]]</f>
        <v>#N/A</v>
      </c>
      <c r="G2" s="31" t="e">
        <f>INDEX(tabSuiviConso[Diff HP
cumul],Tableau4[[#This Row],[1er jour]],1)</f>
        <v>#N/A</v>
      </c>
      <c r="H2" s="31" t="e">
        <f>INDEX(tabSuiviConso[Diff HP
cumul],Tableau4[[#This Row],[Dernier jour]],1)</f>
        <v>#N/A</v>
      </c>
      <c r="I2" s="31" t="e">
        <f>Tableau4[[#This Row],[Diff HP Cumul
Dernier jour]]-Tableau4[[#This Row],[Diff HP Cumul
1er jour]]</f>
        <v>#N/A</v>
      </c>
      <c r="J2" s="31" t="e">
        <f>INDEX(tabSuiviConso[Diff HC
cumul],Tableau4[[#This Row],[1er jour]],1)</f>
        <v>#N/A</v>
      </c>
      <c r="K2" s="31" t="e">
        <f>INDEX(tabSuiviConso[Diff HC
cumul],Tableau4[[#This Row],[Dernier jour]],1)</f>
        <v>#N/A</v>
      </c>
      <c r="L2" s="31" t="e">
        <f>Tableau4[[#This Row],[Diff HC Cumul
Dernier jour]]-Tableau4[[#This Row],[Diff HC Cumul
1er jour]]</f>
        <v>#N/A</v>
      </c>
      <c r="M2" s="31" t="e">
        <f>Tableau4[[#This Row],[Ecart HP]]+Tableau4[[#This Row],[Ecart HC]]</f>
        <v>#N/A</v>
      </c>
      <c r="N2" s="34" t="e">
        <f>Tableau4[[#This Row],[Ecart HP + HC]]/(Tableau4[[#This Row],[Ecart Date]]*24)</f>
        <v>#N/A</v>
      </c>
      <c r="O2" s="34" t="e">
        <f>Tableau4[[#This Row],[Ecart HP + HC]]/Tableau4[[#This Row],[Ecart Date]]</f>
        <v>#N/A</v>
      </c>
      <c r="P2" s="34" t="e">
        <f>Tableau4[[#This Row],[HP+HC/jour]]*365</f>
        <v>#N/A</v>
      </c>
      <c r="Q2" s="37" t="e">
        <f>(Tableau4[[#This Row],[HP+HC/an]]-P1)/P1</f>
        <v>#N/A</v>
      </c>
    </row>
    <row r="3" spans="1:17" x14ac:dyDescent="0.2">
      <c r="A3" s="19">
        <v>2022</v>
      </c>
      <c r="B3" s="19" t="e">
        <f>MATCH(Tableau4[[#This Row],[Année]],tabSuiviConso[Année],0)</f>
        <v>#N/A</v>
      </c>
      <c r="C3" s="1" t="e">
        <f>INDEX(tabSuiviConso[Date],Tableau4[[#This Row],[1er jour]],1)</f>
        <v>#N/A</v>
      </c>
      <c r="D3" s="19" t="e">
        <f>MATCH(Tableau4[[#This Row],[Année]],tabSuiviConso[Année last],0)</f>
        <v>#N/A</v>
      </c>
      <c r="E3" s="1" t="e">
        <f>INDEX(tabSuiviConso[Date],Tableau4[[#This Row],[Dernier jour]],1)</f>
        <v>#N/A</v>
      </c>
      <c r="F3" s="32" t="e">
        <f>Tableau4[[#This Row],[Date Dernier jour]]-Tableau4[[#This Row],[Date 1er jour]]</f>
        <v>#N/A</v>
      </c>
      <c r="G3" s="31" t="e">
        <f>INDEX(tabSuiviConso[Diff HP
cumul],Tableau4[[#This Row],[1er jour]],1)</f>
        <v>#N/A</v>
      </c>
      <c r="H3" s="31" t="e">
        <f>INDEX(tabSuiviConso[Diff HP
cumul],Tableau4[[#This Row],[Dernier jour]],1)</f>
        <v>#N/A</v>
      </c>
      <c r="I3" s="31" t="e">
        <f>Tableau4[[#This Row],[Diff HP Cumul
Dernier jour]]-Tableau4[[#This Row],[Diff HP Cumul
1er jour]]</f>
        <v>#N/A</v>
      </c>
      <c r="J3" s="31" t="e">
        <f>INDEX(tabSuiviConso[Diff HC
cumul],Tableau4[[#This Row],[1er jour]],1)</f>
        <v>#N/A</v>
      </c>
      <c r="K3" s="31" t="e">
        <f>INDEX(tabSuiviConso[Diff HC
cumul],Tableau4[[#This Row],[Dernier jour]],1)</f>
        <v>#N/A</v>
      </c>
      <c r="L3" s="31" t="e">
        <f>Tableau4[[#This Row],[Diff HC Cumul
Dernier jour]]-Tableau4[[#This Row],[Diff HC Cumul
1er jour]]</f>
        <v>#N/A</v>
      </c>
      <c r="M3" s="31" t="e">
        <f>Tableau4[[#This Row],[Ecart HP]]+Tableau4[[#This Row],[Ecart HC]]</f>
        <v>#N/A</v>
      </c>
      <c r="N3" s="34" t="e">
        <f>Tableau4[[#This Row],[Ecart HP + HC]]/(Tableau4[[#This Row],[Ecart Date]]*24)</f>
        <v>#N/A</v>
      </c>
      <c r="O3" s="34" t="e">
        <f>Tableau4[[#This Row],[Ecart HP + HC]]/Tableau4[[#This Row],[Ecart Date]]</f>
        <v>#N/A</v>
      </c>
      <c r="P3" s="34" t="e">
        <f>Tableau4[[#This Row],[HP+HC/jour]]*365</f>
        <v>#N/A</v>
      </c>
      <c r="Q3" s="37" t="e">
        <f>(Tableau4[[#This Row],[HP+HC/an]]-P2)/P2</f>
        <v>#N/A</v>
      </c>
    </row>
    <row r="4" spans="1:17" x14ac:dyDescent="0.2">
      <c r="A4" s="19">
        <v>2023</v>
      </c>
      <c r="B4" s="19" t="e">
        <f>MATCH(Tableau4[[#This Row],[Année]],tabSuiviConso[Année],0)</f>
        <v>#N/A</v>
      </c>
      <c r="C4" s="1" t="e">
        <f>INDEX(tabSuiviConso[Date],Tableau4[[#This Row],[1er jour]],1)</f>
        <v>#N/A</v>
      </c>
      <c r="D4" s="19" t="e">
        <f>MATCH(Tableau4[[#This Row],[Année]],tabSuiviConso[Année last],0)</f>
        <v>#N/A</v>
      </c>
      <c r="E4" s="1" t="e">
        <f>INDEX(tabSuiviConso[Date],Tableau4[[#This Row],[Dernier jour]],1)</f>
        <v>#N/A</v>
      </c>
      <c r="F4" s="32" t="e">
        <f>Tableau4[[#This Row],[Date Dernier jour]]-Tableau4[[#This Row],[Date 1er jour]]</f>
        <v>#N/A</v>
      </c>
      <c r="G4" s="31" t="e">
        <f>INDEX(tabSuiviConso[Diff HP
cumul],Tableau4[[#This Row],[1er jour]],1)</f>
        <v>#N/A</v>
      </c>
      <c r="H4" s="31" t="e">
        <f>INDEX(tabSuiviConso[Diff HP
cumul],Tableau4[[#This Row],[Dernier jour]],1)</f>
        <v>#N/A</v>
      </c>
      <c r="I4" s="31" t="e">
        <f>Tableau4[[#This Row],[Diff HP Cumul
Dernier jour]]-Tableau4[[#This Row],[Diff HP Cumul
1er jour]]</f>
        <v>#N/A</v>
      </c>
      <c r="J4" s="31" t="e">
        <f>INDEX(tabSuiviConso[Diff HC
cumul],Tableau4[[#This Row],[1er jour]],1)</f>
        <v>#N/A</v>
      </c>
      <c r="K4" s="31" t="e">
        <f>INDEX(tabSuiviConso[Diff HC
cumul],Tableau4[[#This Row],[Dernier jour]],1)</f>
        <v>#N/A</v>
      </c>
      <c r="L4" s="31" t="e">
        <f>Tableau4[[#This Row],[Diff HC Cumul
Dernier jour]]-Tableau4[[#This Row],[Diff HC Cumul
1er jour]]</f>
        <v>#N/A</v>
      </c>
      <c r="M4" s="31" t="e">
        <f>Tableau4[[#This Row],[Ecart HP]]+Tableau4[[#This Row],[Ecart HC]]</f>
        <v>#N/A</v>
      </c>
      <c r="N4" s="34" t="e">
        <f>Tableau4[[#This Row],[Ecart HP + HC]]/(Tableau4[[#This Row],[Ecart Date]]*24)</f>
        <v>#N/A</v>
      </c>
      <c r="O4" s="34" t="e">
        <f>Tableau4[[#This Row],[Ecart HP + HC]]/Tableau4[[#This Row],[Ecart Date]]</f>
        <v>#N/A</v>
      </c>
      <c r="P4" s="34" t="e">
        <f>Tableau4[[#This Row],[HP+HC/jour]]*365</f>
        <v>#N/A</v>
      </c>
      <c r="Q4" s="37" t="e">
        <f>(Tableau4[[#This Row],[HP+HC/an]]-P3)/P3</f>
        <v>#N/A</v>
      </c>
    </row>
    <row r="5" spans="1:17" x14ac:dyDescent="0.2">
      <c r="A5" s="35">
        <v>2024</v>
      </c>
      <c r="B5" s="35">
        <f>MATCH(Tableau4[[#This Row],[Année]],tabSuiviConso[Année],0)</f>
        <v>1</v>
      </c>
      <c r="C5" s="1">
        <f>INDEX(tabSuiviConso[Date],Tableau4[[#This Row],[1er jour]],1)</f>
        <v>45629.310416666667</v>
      </c>
      <c r="D5" s="35">
        <f>MATCH(Tableau4[[#This Row],[Année]],tabSuiviConso[Année last],0)</f>
        <v>13</v>
      </c>
      <c r="E5" s="1">
        <f>INDEX(tabSuiviConso[Date],Tableau4[[#This Row],[Dernier jour]],1)</f>
        <v>45640.966666666667</v>
      </c>
      <c r="F5" s="53">
        <f>Tableau4[[#This Row],[Date Dernier jour]]-Tableau4[[#This Row],[Date 1er jour]]</f>
        <v>11.65625</v>
      </c>
      <c r="G5" s="54">
        <f>INDEX(tabSuiviConso[Diff HP
cumul],Tableau4[[#This Row],[1er jour]],1)</f>
        <v>0</v>
      </c>
      <c r="H5" s="54">
        <f>INDEX(tabSuiviConso[Diff HP
cumul],Tableau4[[#This Row],[Dernier jour]],1)</f>
        <v>501</v>
      </c>
      <c r="I5" s="35">
        <f>Tableau4[[#This Row],[Diff HP Cumul
Dernier jour]]-Tableau4[[#This Row],[Diff HP Cumul
1er jour]]</f>
        <v>501</v>
      </c>
      <c r="J5" s="54">
        <f>INDEX(tabSuiviConso[Diff HC
cumul],Tableau4[[#This Row],[1er jour]],1)</f>
        <v>0</v>
      </c>
      <c r="K5" s="54">
        <f>INDEX(tabSuiviConso[Diff HC
cumul],Tableau4[[#This Row],[Dernier jour]],1)</f>
        <v>242</v>
      </c>
      <c r="L5" s="54">
        <f>Tableau4[[#This Row],[Diff HC Cumul
Dernier jour]]-Tableau4[[#This Row],[Diff HC Cumul
1er jour]]</f>
        <v>242</v>
      </c>
      <c r="M5" s="54">
        <f>Tableau4[[#This Row],[Ecart HP]]+Tableau4[[#This Row],[Ecart HC]]</f>
        <v>743</v>
      </c>
      <c r="N5" s="34">
        <f>Tableau4[[#This Row],[Ecart HP + HC]]/(Tableau4[[#This Row],[Ecart Date]]*24)</f>
        <v>2.6559428060768542</v>
      </c>
      <c r="O5" s="34">
        <f>Tableau4[[#This Row],[Ecart HP + HC]]/Tableau4[[#This Row],[Ecart Date]]</f>
        <v>63.742627345844504</v>
      </c>
      <c r="P5" s="55">
        <f>Tableau4[[#This Row],[HP+HC/jour]]*365</f>
        <v>23266.058981233244</v>
      </c>
      <c r="Q5" s="37" t="e">
        <f>(Tableau4[[#This Row],[HP+HC/an]]-P4)/P4</f>
        <v>#N/A</v>
      </c>
    </row>
    <row r="18" spans="14:14" x14ac:dyDescent="0.2">
      <c r="N18" s="3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5"/>
  <sheetViews>
    <sheetView showRowColHeaders="0" workbookViewId="0">
      <selection activeCell="G59" sqref="G59"/>
    </sheetView>
  </sheetViews>
  <sheetFormatPr baseColWidth="10" defaultRowHeight="11.25" x14ac:dyDescent="0.2"/>
  <cols>
    <col min="1" max="1" width="10" style="19" bestFit="1" customWidth="1"/>
    <col min="2" max="2" width="12.140625" style="19" bestFit="1" customWidth="1"/>
    <col min="3" max="3" width="10.85546875" style="19" bestFit="1" customWidth="1"/>
    <col min="4" max="4" width="14.28515625" style="19" bestFit="1" customWidth="1"/>
    <col min="5" max="5" width="13.7109375" style="19" bestFit="1" customWidth="1"/>
    <col min="6" max="6" width="17.140625" style="19" bestFit="1" customWidth="1"/>
    <col min="7" max="7" width="12.28515625" style="19" bestFit="1" customWidth="1"/>
    <col min="8" max="8" width="13" style="19" bestFit="1" customWidth="1"/>
    <col min="9" max="9" width="15.85546875" style="19" bestFit="1" customWidth="1"/>
    <col min="10" max="10" width="11" style="19" bestFit="1" customWidth="1"/>
    <col min="11" max="11" width="13" style="19" bestFit="1" customWidth="1"/>
    <col min="12" max="12" width="15.85546875" style="19" bestFit="1" customWidth="1"/>
    <col min="13" max="13" width="11" style="19" bestFit="1" customWidth="1"/>
    <col min="14" max="14" width="14.140625" style="19" bestFit="1" customWidth="1"/>
    <col min="15" max="15" width="14.7109375" style="19" bestFit="1" customWidth="1"/>
    <col min="16" max="16" width="13.42578125" style="19" bestFit="1" customWidth="1"/>
    <col min="17" max="17" width="12.28515625" style="19" bestFit="1" customWidth="1"/>
    <col min="18" max="16384" width="11.42578125" style="19"/>
  </cols>
  <sheetData>
    <row r="1" spans="1:18" ht="22.5" x14ac:dyDescent="0.2">
      <c r="A1" s="19" t="s">
        <v>9</v>
      </c>
      <c r="B1" s="19" t="s">
        <v>63</v>
      </c>
      <c r="C1" s="19" t="s">
        <v>52</v>
      </c>
      <c r="D1" s="19" t="s">
        <v>57</v>
      </c>
      <c r="E1" s="19" t="s">
        <v>53</v>
      </c>
      <c r="F1" s="19" t="s">
        <v>58</v>
      </c>
      <c r="G1" s="33" t="s">
        <v>59</v>
      </c>
      <c r="H1" s="44" t="s">
        <v>65</v>
      </c>
      <c r="I1" s="44" t="s">
        <v>66</v>
      </c>
      <c r="J1" s="33" t="s">
        <v>54</v>
      </c>
      <c r="K1" s="44" t="s">
        <v>67</v>
      </c>
      <c r="L1" s="44" t="s">
        <v>68</v>
      </c>
      <c r="M1" s="33" t="s">
        <v>55</v>
      </c>
      <c r="N1" s="33" t="s">
        <v>56</v>
      </c>
      <c r="O1" s="33" t="s">
        <v>60</v>
      </c>
      <c r="P1" s="33" t="s">
        <v>61</v>
      </c>
      <c r="Q1" s="33" t="s">
        <v>62</v>
      </c>
      <c r="R1" s="35" t="s">
        <v>64</v>
      </c>
    </row>
    <row r="2" spans="1:18" x14ac:dyDescent="0.2">
      <c r="A2" s="19">
        <v>2021</v>
      </c>
      <c r="B2" s="19">
        <v>2022</v>
      </c>
      <c r="C2" s="19" t="e">
        <f>MATCH(Tableau46[[#This Row],[Année]],tabSuiviConso[Année],0)</f>
        <v>#N/A</v>
      </c>
      <c r="D2" s="39" t="e">
        <f>INDEX(tabSuiviConso[Date],Tableau46[[#This Row],[1er jour]],1)</f>
        <v>#N/A</v>
      </c>
      <c r="E2" s="19" t="e">
        <f>MATCH(Tableau46[[#This Row],[Année]],tabSuiviConso[Année last],0)</f>
        <v>#N/A</v>
      </c>
      <c r="F2" s="1" t="e">
        <f>INDEX(tabSuiviConso[Date],Tableau46[[#This Row],[Dernier jour]],1)</f>
        <v>#N/A</v>
      </c>
      <c r="G2" s="32" t="e">
        <f>Tableau46[[#This Row],[Date Dernier jour]]-Tableau46[[#This Row],[Date 1er jour]]</f>
        <v>#N/A</v>
      </c>
      <c r="H2" s="31" t="e">
        <f>INDEX(tabSuiviConso[Diff HP
cumul],Tableau46[[#This Row],[1er jour]],1)</f>
        <v>#N/A</v>
      </c>
      <c r="I2" s="31" t="e">
        <f>INDEX(tabSuiviConso[Diff HP
cumul],Tableau46[[#This Row],[Dernier jour]],1)</f>
        <v>#N/A</v>
      </c>
      <c r="J2" s="31" t="e">
        <f>Tableau46[[#This Row],[Diff HP Cumul
Dernier jour]]-Tableau46[[#This Row],[Diff HP Cumul
1er jour]]</f>
        <v>#N/A</v>
      </c>
      <c r="K2" s="31" t="e">
        <f>INDEX(tabSuiviConso[Diff HC
cumul],Tableau46[[#This Row],[1er jour]],1)</f>
        <v>#N/A</v>
      </c>
      <c r="L2" s="31" t="e">
        <f>INDEX(tabSuiviConso[Diff HC
cumul],Tableau46[[#This Row],[Dernier jour]],1)</f>
        <v>#N/A</v>
      </c>
      <c r="M2" s="31" t="e">
        <f>Tableau46[[#This Row],[Diff HC Cumul
Dernier jour]]-Tableau46[[#This Row],[Diff HC Cumul
1er jour]]</f>
        <v>#N/A</v>
      </c>
      <c r="N2" s="31" t="e">
        <f>Tableau46[[#This Row],[Ecart HP]]+Tableau46[[#This Row],[Ecart HC]]</f>
        <v>#N/A</v>
      </c>
      <c r="O2" s="34" t="e">
        <f>Tableau46[[#This Row],[Ecart HP + HC]]/(Tableau46[[#This Row],[Ecart Date]]*24)</f>
        <v>#N/A</v>
      </c>
      <c r="P2" s="34" t="e">
        <f>Tableau46[[#This Row],[Ecart HP + HC]]/Tableau46[[#This Row],[Ecart Date]]</f>
        <v>#N/A</v>
      </c>
      <c r="Q2" s="34" t="e">
        <f>Tableau46[[#This Row],[HP+HC/jour]]*365</f>
        <v>#N/A</v>
      </c>
      <c r="R2" s="38" t="e">
        <f>(Tableau46[[#This Row],[HP+HC/an]]-Q1)/Q1</f>
        <v>#N/A</v>
      </c>
    </row>
    <row r="3" spans="1:18" x14ac:dyDescent="0.2">
      <c r="A3" s="19">
        <v>2021</v>
      </c>
      <c r="B3" s="19">
        <v>2022</v>
      </c>
      <c r="C3" s="19" t="e">
        <f>MATCH(Tableau46[[#This Row],[Année]],tabSuiviConso[Année last],0)</f>
        <v>#N/A</v>
      </c>
      <c r="D3" s="39" t="e">
        <f>INDEX(tabSuiviConso[Date],Tableau46[[#This Row],[1er jour]],1)</f>
        <v>#N/A</v>
      </c>
      <c r="E3" s="19" t="e">
        <f>MATCH(Tableau46[[#This Row],[Année + 1]],tabSuiviConso[Année last],0)</f>
        <v>#N/A</v>
      </c>
      <c r="F3" s="1" t="e">
        <f>INDEX(tabSuiviConso[Date],Tableau46[[#This Row],[Dernier jour]],1)</f>
        <v>#N/A</v>
      </c>
      <c r="G3" s="32" t="e">
        <f>Tableau46[[#This Row],[Date Dernier jour]]-Tableau46[[#This Row],[Date 1er jour]]</f>
        <v>#N/A</v>
      </c>
      <c r="H3" s="31" t="e">
        <f>INDEX(tabSuiviConso[Diff HP
cumul],Tableau46[[#This Row],[1er jour]],1)</f>
        <v>#N/A</v>
      </c>
      <c r="I3" s="31" t="e">
        <f>INDEX(tabSuiviConso[Diff HP
cumul],Tableau46[[#This Row],[Dernier jour]],1)</f>
        <v>#N/A</v>
      </c>
      <c r="J3" s="31" t="e">
        <f>Tableau46[[#This Row],[Diff HP Cumul
Dernier jour]]-Tableau46[[#This Row],[Diff HP Cumul
1er jour]]</f>
        <v>#N/A</v>
      </c>
      <c r="K3" s="31" t="e">
        <f>INDEX(tabSuiviConso[Diff HC
cumul],Tableau46[[#This Row],[1er jour]],1)</f>
        <v>#N/A</v>
      </c>
      <c r="L3" s="31" t="e">
        <f>INDEX(tabSuiviConso[Diff HC
cumul],Tableau46[[#This Row],[Dernier jour]],1)</f>
        <v>#N/A</v>
      </c>
      <c r="M3" s="31" t="e">
        <f>Tableau46[[#This Row],[Diff HC Cumul
Dernier jour]]-Tableau46[[#This Row],[Diff HC Cumul
1er jour]]</f>
        <v>#N/A</v>
      </c>
      <c r="N3" s="31" t="e">
        <f>Tableau46[[#This Row],[Ecart HP]]+Tableau46[[#This Row],[Ecart HC]]</f>
        <v>#N/A</v>
      </c>
      <c r="O3" s="34" t="e">
        <f>Tableau46[[#This Row],[Ecart HP + HC]]/(Tableau46[[#This Row],[Ecart Date]]*24)</f>
        <v>#N/A</v>
      </c>
      <c r="P3" s="34" t="e">
        <f>Tableau46[[#This Row],[Ecart HP + HC]]/Tableau46[[#This Row],[Ecart Date]]</f>
        <v>#N/A</v>
      </c>
      <c r="Q3" s="34" t="e">
        <f>Tableau46[[#This Row],[HP+HC/jour]]*365</f>
        <v>#N/A</v>
      </c>
      <c r="R3" s="38" t="e">
        <f>(Tableau46[[#This Row],[HP+HC/an]]-Q2)/Q2</f>
        <v>#N/A</v>
      </c>
    </row>
    <row r="4" spans="1:18" x14ac:dyDescent="0.2">
      <c r="A4" s="19">
        <v>2022</v>
      </c>
      <c r="B4" s="19">
        <v>2023</v>
      </c>
      <c r="C4" s="19" t="e">
        <f>MATCH(Tableau46[[#This Row],[Année]],tabSuiviConso[Année last],0)</f>
        <v>#N/A</v>
      </c>
      <c r="D4" s="39" t="e">
        <f>INDEX(tabSuiviConso[Date],Tableau46[[#This Row],[1er jour]],1)</f>
        <v>#N/A</v>
      </c>
      <c r="E4" s="19" t="e">
        <f>MATCH(Tableau46[[#This Row],[Année + 1]],tabSuiviConso[Année last],0)</f>
        <v>#N/A</v>
      </c>
      <c r="F4" s="1" t="e">
        <f>INDEX(tabSuiviConso[Date],Tableau46[[#This Row],[Dernier jour]],1)</f>
        <v>#N/A</v>
      </c>
      <c r="G4" s="32" t="e">
        <f>Tableau46[[#This Row],[Date Dernier jour]]-Tableau46[[#This Row],[Date 1er jour]]</f>
        <v>#N/A</v>
      </c>
      <c r="H4" s="31" t="e">
        <f>INDEX(tabSuiviConso[Diff HP
cumul],Tableau46[[#This Row],[1er jour]],1)</f>
        <v>#N/A</v>
      </c>
      <c r="I4" s="31" t="e">
        <f>INDEX(tabSuiviConso[Diff HP
cumul],Tableau46[[#This Row],[Dernier jour]],1)</f>
        <v>#N/A</v>
      </c>
      <c r="J4" s="31" t="e">
        <f>Tableau46[[#This Row],[Diff HP Cumul
Dernier jour]]-Tableau46[[#This Row],[Diff HP Cumul
1er jour]]</f>
        <v>#N/A</v>
      </c>
      <c r="K4" s="31" t="e">
        <f>INDEX(tabSuiviConso[Diff HC
cumul],Tableau46[[#This Row],[1er jour]],1)</f>
        <v>#N/A</v>
      </c>
      <c r="L4" s="31" t="e">
        <f>INDEX(tabSuiviConso[Diff HC
cumul],Tableau46[[#This Row],[Dernier jour]],1)</f>
        <v>#N/A</v>
      </c>
      <c r="M4" s="31" t="e">
        <f>Tableau46[[#This Row],[Diff HC Cumul
Dernier jour]]-Tableau46[[#This Row],[Diff HC Cumul
1er jour]]</f>
        <v>#N/A</v>
      </c>
      <c r="N4" s="31" t="e">
        <f>Tableau46[[#This Row],[Ecart HP]]+Tableau46[[#This Row],[Ecart HC]]</f>
        <v>#N/A</v>
      </c>
      <c r="O4" s="34" t="e">
        <f>Tableau46[[#This Row],[Ecart HP + HC]]/(Tableau46[[#This Row],[Ecart Date]]*24)</f>
        <v>#N/A</v>
      </c>
      <c r="P4" s="34" t="e">
        <f>Tableau46[[#This Row],[Ecart HP + HC]]/Tableau46[[#This Row],[Ecart Date]]</f>
        <v>#N/A</v>
      </c>
      <c r="Q4" s="34" t="e">
        <f>Tableau46[[#This Row],[HP+HC/jour]]*365</f>
        <v>#N/A</v>
      </c>
      <c r="R4" s="38" t="e">
        <f>(Tableau46[[#This Row],[HP+HC/an]]-Q3)/Q3</f>
        <v>#N/A</v>
      </c>
    </row>
    <row r="5" spans="1:18" x14ac:dyDescent="0.2">
      <c r="A5" s="35">
        <v>2023</v>
      </c>
      <c r="B5" s="35">
        <v>2024</v>
      </c>
      <c r="C5" s="19" t="e">
        <f>MATCH(Tableau46[[#This Row],[Année]],tabSuiviConso[Année last],0)</f>
        <v>#N/A</v>
      </c>
      <c r="D5" s="39" t="e">
        <f>INDEX(tabSuiviConso[Date],Tableau46[[#This Row],[1er jour]],1)</f>
        <v>#N/A</v>
      </c>
      <c r="E5" s="19">
        <f>MATCH(Tableau46[[#This Row],[Année + 1]],tabSuiviConso[Année last],0)</f>
        <v>13</v>
      </c>
      <c r="F5" s="1">
        <f>INDEX(tabSuiviConso[Date],Tableau46[[#This Row],[Dernier jour]],1)</f>
        <v>45640.966666666667</v>
      </c>
      <c r="G5" s="53" t="e">
        <f>Tableau46[[#This Row],[Date Dernier jour]]-Tableau46[[#This Row],[Date 1er jour]]</f>
        <v>#N/A</v>
      </c>
      <c r="H5" s="54" t="e">
        <f>INDEX(tabSuiviConso[Diff HP
cumul],Tableau46[[#This Row],[1er jour]],1)</f>
        <v>#N/A</v>
      </c>
      <c r="I5" s="54">
        <f>INDEX(tabSuiviConso[Diff HP
cumul],Tableau46[[#This Row],[Dernier jour]],1)</f>
        <v>501</v>
      </c>
      <c r="J5" s="35" t="e">
        <f>Tableau46[[#This Row],[Diff HP Cumul
Dernier jour]]-Tableau46[[#This Row],[Diff HP Cumul
1er jour]]</f>
        <v>#N/A</v>
      </c>
      <c r="K5" s="54" t="e">
        <f>INDEX(tabSuiviConso[Diff HC
cumul],Tableau46[[#This Row],[1er jour]],1)</f>
        <v>#N/A</v>
      </c>
      <c r="L5" s="54">
        <f>INDEX(tabSuiviConso[Diff HC
cumul],Tableau46[[#This Row],[Dernier jour]],1)</f>
        <v>242</v>
      </c>
      <c r="M5" s="54" t="e">
        <f>Tableau46[[#This Row],[Diff HC Cumul
Dernier jour]]-Tableau46[[#This Row],[Diff HC Cumul
1er jour]]</f>
        <v>#N/A</v>
      </c>
      <c r="N5" s="54" t="e">
        <f>Tableau46[[#This Row],[Ecart HP]]+Tableau46[[#This Row],[Ecart HC]]</f>
        <v>#N/A</v>
      </c>
      <c r="O5" s="34" t="e">
        <f>Tableau46[[#This Row],[Ecart HP + HC]]/(Tableau46[[#This Row],[Ecart Date]]*24)</f>
        <v>#N/A</v>
      </c>
      <c r="P5" s="34" t="e">
        <f>Tableau46[[#This Row],[Ecart HP + HC]]/Tableau46[[#This Row],[Ecart Date]]</f>
        <v>#N/A</v>
      </c>
      <c r="Q5" s="55" t="e">
        <f>Tableau46[[#This Row],[HP+HC/jour]]*365</f>
        <v>#N/A</v>
      </c>
      <c r="R5" s="38" t="e">
        <f>(Tableau46[[#This Row],[HP+HC/an]]-Q4)/Q4</f>
        <v>#N/A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D48"/>
  <sheetViews>
    <sheetView showGridLines="0" showRowColHeaders="0" workbookViewId="0">
      <selection activeCell="K47" sqref="K47"/>
    </sheetView>
  </sheetViews>
  <sheetFormatPr baseColWidth="10" defaultRowHeight="12.75" x14ac:dyDescent="0.2"/>
  <sheetData>
    <row r="48" spans="4:4" x14ac:dyDescent="0.2">
      <c r="D48" s="71" t="s">
        <v>114</v>
      </c>
    </row>
  </sheetData>
  <hyperlinks>
    <hyperlink ref="D48" r:id="rId1" display="https://www.youtube.com/watch?v=hbn7DtGUtB4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K47" sqref="K4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N50" sqref="N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368"/>
  <sheetViews>
    <sheetView showGridLines="0" showRowColHeaders="0" topLeftCell="C1" workbookViewId="0">
      <pane xSplit="2" ySplit="1" topLeftCell="E328" activePane="bottomRight" state="frozen"/>
      <selection activeCell="K47" sqref="K47"/>
      <selection pane="topRight" activeCell="K47" sqref="K47"/>
      <selection pane="bottomLeft" activeCell="K47" sqref="K47"/>
      <selection pane="bottomRight" activeCell="T269" sqref="T269"/>
    </sheetView>
  </sheetViews>
  <sheetFormatPr baseColWidth="10" defaultRowHeight="11.25" x14ac:dyDescent="0.2"/>
  <cols>
    <col min="1" max="1" width="8.85546875" style="19" hidden="1" customWidth="1"/>
    <col min="2" max="2" width="8.42578125" style="19" hidden="1" customWidth="1"/>
    <col min="3" max="3" width="12.5703125" style="19" bestFit="1" customWidth="1"/>
    <col min="4" max="4" width="14.7109375" style="19" hidden="1" customWidth="1"/>
    <col min="5" max="5" width="9" style="19" bestFit="1" customWidth="1"/>
    <col min="6" max="6" width="13.5703125" style="56" bestFit="1" customWidth="1"/>
    <col min="7" max="7" width="14.7109375" style="19" hidden="1" customWidth="1"/>
    <col min="8" max="8" width="9" style="19" bestFit="1" customWidth="1"/>
    <col min="9" max="9" width="13.5703125" style="56" bestFit="1" customWidth="1"/>
    <col min="10" max="10" width="14.7109375" style="19" hidden="1" customWidth="1"/>
    <col min="11" max="11" width="16.28515625" style="19" bestFit="1" customWidth="1"/>
    <col min="12" max="12" width="12.7109375" style="19" bestFit="1" customWidth="1"/>
    <col min="13" max="13" width="9" style="19" customWidth="1"/>
    <col min="14" max="14" width="13.5703125" style="56" bestFit="1" customWidth="1"/>
    <col min="15" max="15" width="16.28515625" style="19" bestFit="1" customWidth="1"/>
    <col min="16" max="16" width="12.7109375" style="19" bestFit="1" customWidth="1"/>
    <col min="17" max="17" width="14.7109375" style="19" hidden="1" customWidth="1"/>
    <col min="18" max="18" width="9" style="19" bestFit="1" customWidth="1"/>
    <col min="19" max="19" width="13.5703125" style="56" bestFit="1" customWidth="1"/>
    <col min="20" max="20" width="16.28515625" style="19" bestFit="1" customWidth="1"/>
    <col min="21" max="21" width="12.7109375" style="19" bestFit="1" customWidth="1"/>
    <col min="22" max="16384" width="11.42578125" style="19"/>
  </cols>
  <sheetData>
    <row r="1" spans="1:21" ht="22.5" x14ac:dyDescent="0.2">
      <c r="A1" s="51" t="s">
        <v>8</v>
      </c>
      <c r="B1" s="51" t="s">
        <v>73</v>
      </c>
      <c r="C1" s="19" t="s">
        <v>74</v>
      </c>
      <c r="D1" s="51" t="s">
        <v>80</v>
      </c>
      <c r="E1" s="58" t="s">
        <v>75</v>
      </c>
      <c r="F1" s="56" t="s">
        <v>82</v>
      </c>
      <c r="G1" s="51" t="s">
        <v>79</v>
      </c>
      <c r="H1" s="58" t="s">
        <v>76</v>
      </c>
      <c r="I1" s="56" t="s">
        <v>83</v>
      </c>
      <c r="J1" s="51" t="s">
        <v>81</v>
      </c>
      <c r="K1" s="19" t="s">
        <v>93</v>
      </c>
      <c r="L1" s="44" t="s">
        <v>100</v>
      </c>
      <c r="M1" s="58" t="s">
        <v>77</v>
      </c>
      <c r="N1" s="56" t="s">
        <v>84</v>
      </c>
      <c r="O1" s="35" t="s">
        <v>94</v>
      </c>
      <c r="P1" s="44" t="s">
        <v>99</v>
      </c>
      <c r="Q1" s="52" t="s">
        <v>98</v>
      </c>
      <c r="R1" s="58" t="s">
        <v>95</v>
      </c>
      <c r="S1" s="56" t="s">
        <v>96</v>
      </c>
      <c r="T1" s="35" t="s">
        <v>97</v>
      </c>
      <c r="U1" s="44" t="s">
        <v>101</v>
      </c>
    </row>
    <row r="2" spans="1:21" x14ac:dyDescent="0.2">
      <c r="A2" s="35">
        <v>1</v>
      </c>
      <c r="B2" s="35">
        <v>0</v>
      </c>
      <c r="C2" s="35" t="str">
        <f>Tableau6[Jour]&amp;"/"&amp;Tableau6[Mois]</f>
        <v>0/1</v>
      </c>
      <c r="D2" s="35" t="e">
        <f>MATCH(2020,tabSuiviConso[Année last],0)</f>
        <v>#N/A</v>
      </c>
      <c r="E2" s="35" t="str">
        <f>IF(ISNA(Tableau6[[#This Row],[Position 2021]]),"",INDEX(tabSuiviConso[HP + HC
cumul],Tableau6[[#This Row],[Position 2021]],1))</f>
        <v/>
      </c>
      <c r="F2" s="56" t="e">
        <f>IF(ISNA(Tableau6[[#This Row],[Position 2021]]),Tableau6[[#This Row],[Position 2021]],Tableau6[[#This Row],[2021]]-E$2)</f>
        <v>#N/A</v>
      </c>
      <c r="G2" s="35" t="e">
        <f>MATCH(2021,tabSuiviConso[Année last],0)</f>
        <v>#N/A</v>
      </c>
      <c r="H2" s="35" t="str">
        <f>IF(ISNA(Tableau6[[#This Row],[Position 2022]]),"",INDEX(tabSuiviConso[HP + HC
cumul],Tableau6[[#This Row],[Position 2022]],1))</f>
        <v/>
      </c>
      <c r="I2" s="56" t="e">
        <f>IF(ISNA(Tableau6[[#This Row],[Position 2022]]),Tableau6[[#This Row],[Position 2022]],Tableau6[[#This Row],[2022]]-H$2)</f>
        <v>#N/A</v>
      </c>
      <c r="J2" s="35" t="e">
        <f>MATCH(2022,tabSuiviConso[Année last],0)</f>
        <v>#N/A</v>
      </c>
      <c r="K2" s="35" t="e">
        <f>Tableau6[[#This Row],[Cumul 2022]]-Tableau6[[#This Row],[Cumul 2021]]</f>
        <v>#N/A</v>
      </c>
      <c r="L2" s="37" t="e">
        <f>Tableau6[[#This Row],[Ecart 2021 2022]]/Tableau6[[#This Row],[Cumul 2021]]</f>
        <v>#N/A</v>
      </c>
      <c r="M2" s="35" t="str">
        <f>IF(ISNA(Tableau6[[#This Row],[Position 2023]]),"",INDEX(tabSuiviConso[HP + HC
cumul],Tableau6[[#This Row],[Position 2023]],1))</f>
        <v/>
      </c>
      <c r="N2" s="56" t="e">
        <f>IF(ISNA(Tableau6[[#This Row],[Position 2023]]),Tableau6[[#This Row],[Position 2023]],Tableau6[[#This Row],[2023]]-M$2)</f>
        <v>#N/A</v>
      </c>
      <c r="O2" s="35" t="e">
        <f>Tableau6[[#This Row],[Cumul 2023]]-Tableau6[[#This Row],[Cumul 2022]]</f>
        <v>#N/A</v>
      </c>
      <c r="P2" s="37" t="e">
        <f>Tableau6[[#This Row],[Ecart 2022 2023]]/Tableau6[[#This Row],[Cumul 2022]]</f>
        <v>#N/A</v>
      </c>
      <c r="Q2" s="35" t="e">
        <f>MATCH(2023,tabSuiviConso[Année last],0)</f>
        <v>#N/A</v>
      </c>
      <c r="R2" s="35" t="str">
        <f>IF(ISNA(Tableau6[[#This Row],[Position 2024]]),"",INDEX(tabSuiviConso[HP + HC
cumul],Tableau6[[#This Row],[Position 2024]],1))</f>
        <v/>
      </c>
      <c r="S2" s="56" t="e">
        <f>IF(ISNA(Tableau6[[#This Row],[Position 2024]]),Tableau6[[#This Row],[Position 2024]],Tableau6[[#This Row],[2024]]-R$2)</f>
        <v>#N/A</v>
      </c>
      <c r="T2" s="35" t="e">
        <f>Tableau6[[#This Row],[Cumul 2024]]-Tableau6[[#This Row],[Cumul 2023]]</f>
        <v>#N/A</v>
      </c>
      <c r="U2" s="36" t="e">
        <f>Tableau6[[#This Row],[Ecart 2023 2024]]/Tableau6[[#This Row],[Cumul 2023]]</f>
        <v>#N/A</v>
      </c>
    </row>
    <row r="3" spans="1:21" x14ac:dyDescent="0.2">
      <c r="A3" s="19">
        <v>1</v>
      </c>
      <c r="B3" s="19">
        <v>1</v>
      </c>
      <c r="C3" s="19" t="str">
        <f>Tableau6[Jour]&amp;"/"&amp;Tableau6[Mois]</f>
        <v>1/1</v>
      </c>
      <c r="D3" s="19" t="e">
        <f>MATCH(Tableau6[Jours Mois]&amp;"/"&amp;Tableau6[[#Headers],[2021]],tabSuiviConso[Jour Mois Année],0)</f>
        <v>#N/A</v>
      </c>
      <c r="E3" s="19" t="str">
        <f>IF(ISNA(Tableau6[[#This Row],[Position 2021]]),"",INDEX(tabSuiviConso[HP + HC
cumul],Tableau6[[#This Row],[Position 2021]],1))</f>
        <v/>
      </c>
      <c r="F3" s="56" t="e">
        <f>IF(ISNA(Tableau6[[#This Row],[Position 2021]]),Tableau6[[#This Row],[Position 2021]],Tableau6[[#This Row],[2021]]-E$2)</f>
        <v>#N/A</v>
      </c>
      <c r="G3" s="19" t="e">
        <f>MATCH(Tableau6[Jours Mois]&amp;"/"&amp;Tableau6[[#Headers],[2022]],tabSuiviConso[Jour Mois Année],0)</f>
        <v>#N/A</v>
      </c>
      <c r="H3" s="19" t="str">
        <f>IF(ISNA(Tableau6[[#This Row],[Position 2022]]),"",INDEX(tabSuiviConso[HP + HC
cumul],Tableau6[[#This Row],[Position 2022]],1))</f>
        <v/>
      </c>
      <c r="I3" s="56" t="e">
        <f>IF(ISNA(Tableau6[[#This Row],[Position 2022]]),Tableau6[[#This Row],[Position 2022]],Tableau6[[#This Row],[2022]]-H$2)</f>
        <v>#N/A</v>
      </c>
      <c r="J3" s="19" t="e">
        <f>MATCH(Tableau6[Jours Mois]&amp;"/"&amp;Tableau6[[#Headers],[2023]],tabSuiviConso[Jour Mois Année],0)</f>
        <v>#N/A</v>
      </c>
      <c r="K3" s="35" t="e">
        <f>Tableau6[[#This Row],[Cumul 2022]]-Tableau6[[#This Row],[Cumul 2021]]</f>
        <v>#N/A</v>
      </c>
      <c r="L3" s="37" t="e">
        <f>Tableau6[[#This Row],[Ecart 2021 2022]]/Tableau6[[#This Row],[Cumul 2021]]</f>
        <v>#N/A</v>
      </c>
      <c r="M3" s="19" t="str">
        <f>IF(ISNA(Tableau6[[#This Row],[Position 2023]]),"",INDEX(tabSuiviConso[HP + HC
cumul],Tableau6[[#This Row],[Position 2023]],1))</f>
        <v/>
      </c>
      <c r="N3" s="56" t="e">
        <f>IF(ISNA(Tableau6[[#This Row],[Position 2023]]),Tableau6[[#This Row],[Position 2023]],Tableau6[[#This Row],[2023]]-M$2)</f>
        <v>#N/A</v>
      </c>
      <c r="O3" s="35" t="e">
        <f>Tableau6[[#This Row],[Cumul 2023]]-Tableau6[[#This Row],[Cumul 2022]]</f>
        <v>#N/A</v>
      </c>
      <c r="P3" s="37" t="e">
        <f>Tableau6[[#This Row],[Ecart 2022 2023]]/Tableau6[[#This Row],[Cumul 2022]]</f>
        <v>#N/A</v>
      </c>
      <c r="Q3" s="35" t="e">
        <f>MATCH(Tableau6[Jours Mois]&amp;"/"&amp;Tableau6[[#Headers],[2024]],tabSuiviConso[Jour Mois Année],0)</f>
        <v>#N/A</v>
      </c>
      <c r="R3" s="35" t="str">
        <f>IF(ISNA(Tableau6[[#This Row],[Position 2024]]),"",INDEX(tabSuiviConso[HP + HC
cumul],Tableau6[[#This Row],[Position 2024]],1))</f>
        <v/>
      </c>
      <c r="S3" s="56" t="e">
        <f>IF(ISNA(Tableau6[[#This Row],[Position 2024]]),Tableau6[[#This Row],[Position 2024]],Tableau6[[#This Row],[2024]]-R$2)</f>
        <v>#N/A</v>
      </c>
      <c r="T3" s="35" t="e">
        <f>Tableau6[[#This Row],[Cumul 2024]]-Tableau6[[#This Row],[Cumul 2023]]</f>
        <v>#N/A</v>
      </c>
      <c r="U3" s="36" t="e">
        <f>Tableau6[[#This Row],[Ecart 2023 2024]]/Tableau6[[#This Row],[Cumul 2023]]</f>
        <v>#N/A</v>
      </c>
    </row>
    <row r="4" spans="1:21" x14ac:dyDescent="0.2">
      <c r="A4" s="35">
        <v>1</v>
      </c>
      <c r="B4" s="35">
        <v>2</v>
      </c>
      <c r="C4" s="35" t="str">
        <f>Tableau6[Jour]&amp;"/"&amp;Tableau6[Mois]</f>
        <v>2/1</v>
      </c>
      <c r="D4" s="35" t="e">
        <f>MATCH(Tableau6[Jours Mois]&amp;"/"&amp;Tableau6[[#Headers],[2021]],tabSuiviConso[Jour Mois Année],0)</f>
        <v>#N/A</v>
      </c>
      <c r="E4" s="19" t="str">
        <f>IF(ISNA(Tableau6[[#This Row],[Position 2021]]),"",INDEX(tabSuiviConso[HP + HC
cumul],Tableau6[[#This Row],[Position 2021]],1))</f>
        <v/>
      </c>
      <c r="F4" s="56" t="e">
        <f>IF(ISNA(Tableau6[[#This Row],[Position 2021]]),Tableau6[[#This Row],[Position 2021]],Tableau6[[#This Row],[2021]]-E$2)</f>
        <v>#N/A</v>
      </c>
      <c r="G4" s="35" t="e">
        <f>MATCH(Tableau6[Jours Mois]&amp;"/"&amp;Tableau6[[#Headers],[2022]],tabSuiviConso[Jour Mois Année],0)</f>
        <v>#N/A</v>
      </c>
      <c r="H4" s="19" t="str">
        <f>IF(ISNA(Tableau6[[#This Row],[Position 2022]]),"",INDEX(tabSuiviConso[HP + HC
cumul],Tableau6[[#This Row],[Position 2022]],1))</f>
        <v/>
      </c>
      <c r="I4" s="56" t="e">
        <f>IF(ISNA(Tableau6[[#This Row],[Position 2022]]),Tableau6[[#This Row],[Position 2022]],Tableau6[[#This Row],[2022]]-H$2)</f>
        <v>#N/A</v>
      </c>
      <c r="J4" s="35" t="e">
        <f>MATCH(Tableau6[Jours Mois]&amp;"/"&amp;Tableau6[[#Headers],[2023]],tabSuiviConso[Jour Mois Année],0)</f>
        <v>#N/A</v>
      </c>
      <c r="K4" s="35" t="e">
        <f>Tableau6[[#This Row],[Cumul 2022]]-Tableau6[[#This Row],[Cumul 2021]]</f>
        <v>#N/A</v>
      </c>
      <c r="L4" s="37" t="e">
        <f>Tableau6[[#This Row],[Ecart 2021 2022]]/Tableau6[[#This Row],[Cumul 2021]]</f>
        <v>#N/A</v>
      </c>
      <c r="M4" s="19" t="str">
        <f>IF(ISNA(Tableau6[[#This Row],[Position 2023]]),"",INDEX(tabSuiviConso[HP + HC
cumul],Tableau6[[#This Row],[Position 2023]],1))</f>
        <v/>
      </c>
      <c r="N4" s="56" t="e">
        <f>IF(ISNA(Tableau6[[#This Row],[Position 2023]]),Tableau6[[#This Row],[Position 2023]],Tableau6[[#This Row],[2023]]-M$2)</f>
        <v>#N/A</v>
      </c>
      <c r="O4" s="35" t="e">
        <f>Tableau6[[#This Row],[Cumul 2023]]-Tableau6[[#This Row],[Cumul 2022]]</f>
        <v>#N/A</v>
      </c>
      <c r="P4" s="37" t="e">
        <f>Tableau6[[#This Row],[Ecart 2022 2023]]/Tableau6[[#This Row],[Cumul 2022]]</f>
        <v>#N/A</v>
      </c>
      <c r="Q4" s="35" t="e">
        <f>MATCH(Tableau6[Jours Mois]&amp;"/"&amp;Tableau6[[#Headers],[2024]],tabSuiviConso[Jour Mois Année],0)</f>
        <v>#N/A</v>
      </c>
      <c r="R4" s="35" t="str">
        <f>IF(ISNA(Tableau6[[#This Row],[Position 2024]]),"",INDEX(tabSuiviConso[HP + HC
cumul],Tableau6[[#This Row],[Position 2024]],1))</f>
        <v/>
      </c>
      <c r="S4" s="56" t="e">
        <f>IF(ISNA(Tableau6[[#This Row],[Position 2024]]),Tableau6[[#This Row],[Position 2024]],Tableau6[[#This Row],[2024]]-R$2)</f>
        <v>#N/A</v>
      </c>
      <c r="T4" s="35" t="e">
        <f>Tableau6[[#This Row],[Cumul 2024]]-Tableau6[[#This Row],[Cumul 2023]]</f>
        <v>#N/A</v>
      </c>
      <c r="U4" s="36" t="e">
        <f>Tableau6[[#This Row],[Ecart 2023 2024]]/Tableau6[[#This Row],[Cumul 2023]]</f>
        <v>#N/A</v>
      </c>
    </row>
    <row r="5" spans="1:21" x14ac:dyDescent="0.2">
      <c r="A5" s="35">
        <v>1</v>
      </c>
      <c r="B5" s="35">
        <v>3</v>
      </c>
      <c r="C5" s="35" t="str">
        <f>Tableau6[Jour]&amp;"/"&amp;Tableau6[Mois]</f>
        <v>3/1</v>
      </c>
      <c r="D5" s="35" t="e">
        <f>MATCH(Tableau6[Jours Mois]&amp;"/"&amp;Tableau6[[#Headers],[2021]],tabSuiviConso[Jour Mois Année],0)</f>
        <v>#N/A</v>
      </c>
      <c r="E5" s="19" t="str">
        <f>IF(ISNA(Tableau6[[#This Row],[Position 2021]]),"",INDEX(tabSuiviConso[HP + HC
cumul],Tableau6[[#This Row],[Position 2021]],1))</f>
        <v/>
      </c>
      <c r="F5" s="56" t="e">
        <f>IF(ISNA(Tableau6[[#This Row],[Position 2021]]),Tableau6[[#This Row],[Position 2021]],Tableau6[[#This Row],[2021]]-E$2)</f>
        <v>#N/A</v>
      </c>
      <c r="G5" s="35" t="e">
        <f>MATCH(Tableau6[Jours Mois]&amp;"/"&amp;Tableau6[[#Headers],[2022]],tabSuiviConso[Jour Mois Année],0)</f>
        <v>#N/A</v>
      </c>
      <c r="H5" s="19" t="str">
        <f>IF(ISNA(Tableau6[[#This Row],[Position 2022]]),"",INDEX(tabSuiviConso[HP + HC
cumul],Tableau6[[#This Row],[Position 2022]],1))</f>
        <v/>
      </c>
      <c r="I5" s="56" t="e">
        <f>IF(ISNA(Tableau6[[#This Row],[Position 2022]]),Tableau6[[#This Row],[Position 2022]],Tableau6[[#This Row],[2022]]-H$2)</f>
        <v>#N/A</v>
      </c>
      <c r="J5" s="35" t="e">
        <f>MATCH(Tableau6[Jours Mois]&amp;"/"&amp;Tableau6[[#Headers],[2023]],tabSuiviConso[Jour Mois Année],0)</f>
        <v>#N/A</v>
      </c>
      <c r="K5" s="35" t="e">
        <f>Tableau6[[#This Row],[Cumul 2022]]-Tableau6[[#This Row],[Cumul 2021]]</f>
        <v>#N/A</v>
      </c>
      <c r="L5" s="37" t="e">
        <f>Tableau6[[#This Row],[Ecart 2021 2022]]/Tableau6[[#This Row],[Cumul 2021]]</f>
        <v>#N/A</v>
      </c>
      <c r="M5" s="19" t="str">
        <f>IF(ISNA(Tableau6[[#This Row],[Position 2023]]),"",INDEX(tabSuiviConso[HP + HC
cumul],Tableau6[[#This Row],[Position 2023]],1))</f>
        <v/>
      </c>
      <c r="N5" s="56" t="e">
        <f>IF(ISNA(Tableau6[[#This Row],[Position 2023]]),Tableau6[[#This Row],[Position 2023]],Tableau6[[#This Row],[2023]]-M$2)</f>
        <v>#N/A</v>
      </c>
      <c r="O5" s="35" t="e">
        <f>Tableau6[[#This Row],[Cumul 2023]]-Tableau6[[#This Row],[Cumul 2022]]</f>
        <v>#N/A</v>
      </c>
      <c r="P5" s="37" t="e">
        <f>Tableau6[[#This Row],[Ecart 2022 2023]]/Tableau6[[#This Row],[Cumul 2022]]</f>
        <v>#N/A</v>
      </c>
      <c r="Q5" s="35" t="e">
        <f>MATCH(Tableau6[Jours Mois]&amp;"/"&amp;Tableau6[[#Headers],[2024]],tabSuiviConso[Jour Mois Année],0)</f>
        <v>#N/A</v>
      </c>
      <c r="R5" s="35" t="str">
        <f>IF(ISNA(Tableau6[[#This Row],[Position 2024]]),"",INDEX(tabSuiviConso[HP + HC
cumul],Tableau6[[#This Row],[Position 2024]],1))</f>
        <v/>
      </c>
      <c r="S5" s="56" t="e">
        <f>IF(ISNA(Tableau6[[#This Row],[Position 2024]]),Tableau6[[#This Row],[Position 2024]],Tableau6[[#This Row],[2024]]-R$2)</f>
        <v>#N/A</v>
      </c>
      <c r="T5" s="35" t="e">
        <f>Tableau6[[#This Row],[Cumul 2024]]-Tableau6[[#This Row],[Cumul 2023]]</f>
        <v>#N/A</v>
      </c>
      <c r="U5" s="36" t="e">
        <f>Tableau6[[#This Row],[Ecart 2023 2024]]/Tableau6[[#This Row],[Cumul 2023]]</f>
        <v>#N/A</v>
      </c>
    </row>
    <row r="6" spans="1:21" x14ac:dyDescent="0.2">
      <c r="A6" s="35">
        <v>1</v>
      </c>
      <c r="B6" s="35">
        <v>4</v>
      </c>
      <c r="C6" s="35" t="str">
        <f>Tableau6[Jour]&amp;"/"&amp;Tableau6[Mois]</f>
        <v>4/1</v>
      </c>
      <c r="D6" s="35" t="e">
        <f>MATCH(Tableau6[Jours Mois]&amp;"/"&amp;Tableau6[[#Headers],[2021]],tabSuiviConso[Jour Mois Année],0)</f>
        <v>#N/A</v>
      </c>
      <c r="E6" s="19" t="str">
        <f>IF(ISNA(Tableau6[[#This Row],[Position 2021]]),"",INDEX(tabSuiviConso[HP + HC
cumul],Tableau6[[#This Row],[Position 2021]],1))</f>
        <v/>
      </c>
      <c r="F6" s="56" t="e">
        <f>IF(ISNA(Tableau6[[#This Row],[Position 2021]]),Tableau6[[#This Row],[Position 2021]],Tableau6[[#This Row],[2021]]-E$2)</f>
        <v>#N/A</v>
      </c>
      <c r="G6" s="35" t="e">
        <f>MATCH(Tableau6[Jours Mois]&amp;"/"&amp;Tableau6[[#Headers],[2022]],tabSuiviConso[Jour Mois Année],0)</f>
        <v>#N/A</v>
      </c>
      <c r="H6" s="19" t="str">
        <f>IF(ISNA(Tableau6[[#This Row],[Position 2022]]),"",INDEX(tabSuiviConso[HP + HC
cumul],Tableau6[[#This Row],[Position 2022]],1))</f>
        <v/>
      </c>
      <c r="I6" s="56" t="e">
        <f>IF(ISNA(Tableau6[[#This Row],[Position 2022]]),Tableau6[[#This Row],[Position 2022]],Tableau6[[#This Row],[2022]]-H$2)</f>
        <v>#N/A</v>
      </c>
      <c r="J6" s="35" t="e">
        <f>MATCH(Tableau6[Jours Mois]&amp;"/"&amp;Tableau6[[#Headers],[2023]],tabSuiviConso[Jour Mois Année],0)</f>
        <v>#N/A</v>
      </c>
      <c r="K6" s="35" t="e">
        <f>Tableau6[[#This Row],[Cumul 2022]]-Tableau6[[#This Row],[Cumul 2021]]</f>
        <v>#N/A</v>
      </c>
      <c r="L6" s="37" t="e">
        <f>Tableau6[[#This Row],[Ecart 2021 2022]]/Tableau6[[#This Row],[Cumul 2021]]</f>
        <v>#N/A</v>
      </c>
      <c r="M6" s="19" t="str">
        <f>IF(ISNA(Tableau6[[#This Row],[Position 2023]]),"",INDEX(tabSuiviConso[HP + HC
cumul],Tableau6[[#This Row],[Position 2023]],1))</f>
        <v/>
      </c>
      <c r="N6" s="56" t="e">
        <f>IF(ISNA(Tableau6[[#This Row],[Position 2023]]),Tableau6[[#This Row],[Position 2023]],Tableau6[[#This Row],[2023]]-M$2)</f>
        <v>#N/A</v>
      </c>
      <c r="O6" s="35" t="e">
        <f>Tableau6[[#This Row],[Cumul 2023]]-Tableau6[[#This Row],[Cumul 2022]]</f>
        <v>#N/A</v>
      </c>
      <c r="P6" s="37" t="e">
        <f>Tableau6[[#This Row],[Ecart 2022 2023]]/Tableau6[[#This Row],[Cumul 2022]]</f>
        <v>#N/A</v>
      </c>
      <c r="Q6" s="35" t="e">
        <f>MATCH(Tableau6[Jours Mois]&amp;"/"&amp;Tableau6[[#Headers],[2024]],tabSuiviConso[Jour Mois Année],0)</f>
        <v>#N/A</v>
      </c>
      <c r="R6" s="35" t="str">
        <f>IF(ISNA(Tableau6[[#This Row],[Position 2024]]),"",INDEX(tabSuiviConso[HP + HC
cumul],Tableau6[[#This Row],[Position 2024]],1))</f>
        <v/>
      </c>
      <c r="S6" s="56" t="e">
        <f>IF(ISNA(Tableau6[[#This Row],[Position 2024]]),Tableau6[[#This Row],[Position 2024]],Tableau6[[#This Row],[2024]]-R$2)</f>
        <v>#N/A</v>
      </c>
      <c r="T6" s="35" t="e">
        <f>Tableau6[[#This Row],[Cumul 2024]]-Tableau6[[#This Row],[Cumul 2023]]</f>
        <v>#N/A</v>
      </c>
      <c r="U6" s="36" t="e">
        <f>Tableau6[[#This Row],[Ecart 2023 2024]]/Tableau6[[#This Row],[Cumul 2023]]</f>
        <v>#N/A</v>
      </c>
    </row>
    <row r="7" spans="1:21" x14ac:dyDescent="0.2">
      <c r="A7" s="35">
        <v>1</v>
      </c>
      <c r="B7" s="35">
        <v>5</v>
      </c>
      <c r="C7" s="35" t="str">
        <f>Tableau6[Jour]&amp;"/"&amp;Tableau6[Mois]</f>
        <v>5/1</v>
      </c>
      <c r="D7" s="35" t="e">
        <f>MATCH(Tableau6[Jours Mois]&amp;"/"&amp;Tableau6[[#Headers],[2021]],tabSuiviConso[Jour Mois Année],0)</f>
        <v>#N/A</v>
      </c>
      <c r="E7" s="19" t="str">
        <f>IF(ISNA(Tableau6[[#This Row],[Position 2021]]),"",INDEX(tabSuiviConso[HP + HC
cumul],Tableau6[[#This Row],[Position 2021]],1))</f>
        <v/>
      </c>
      <c r="F7" s="56" t="e">
        <f>IF(ISNA(Tableau6[[#This Row],[Position 2021]]),Tableau6[[#This Row],[Position 2021]],Tableau6[[#This Row],[2021]]-E$2)</f>
        <v>#N/A</v>
      </c>
      <c r="G7" s="35" t="e">
        <f>MATCH(Tableau6[Jours Mois]&amp;"/"&amp;Tableau6[[#Headers],[2022]],tabSuiviConso[Jour Mois Année],0)</f>
        <v>#N/A</v>
      </c>
      <c r="H7" s="19" t="str">
        <f>IF(ISNA(Tableau6[[#This Row],[Position 2022]]),"",INDEX(tabSuiviConso[HP + HC
cumul],Tableau6[[#This Row],[Position 2022]],1))</f>
        <v/>
      </c>
      <c r="I7" s="56" t="e">
        <f>IF(ISNA(Tableau6[[#This Row],[Position 2022]]),Tableau6[[#This Row],[Position 2022]],Tableau6[[#This Row],[2022]]-H$2)</f>
        <v>#N/A</v>
      </c>
      <c r="J7" s="35" t="e">
        <f>MATCH(Tableau6[Jours Mois]&amp;"/"&amp;Tableau6[[#Headers],[2023]],tabSuiviConso[Jour Mois Année],0)</f>
        <v>#N/A</v>
      </c>
      <c r="K7" s="35" t="e">
        <f>Tableau6[[#This Row],[Cumul 2022]]-Tableau6[[#This Row],[Cumul 2021]]</f>
        <v>#N/A</v>
      </c>
      <c r="L7" s="37" t="e">
        <f>Tableau6[[#This Row],[Ecart 2021 2022]]/Tableau6[[#This Row],[Cumul 2021]]</f>
        <v>#N/A</v>
      </c>
      <c r="M7" s="19" t="str">
        <f>IF(ISNA(Tableau6[[#This Row],[Position 2023]]),"",INDEX(tabSuiviConso[HP + HC
cumul],Tableau6[[#This Row],[Position 2023]],1))</f>
        <v/>
      </c>
      <c r="N7" s="56" t="e">
        <f>IF(ISNA(Tableau6[[#This Row],[Position 2023]]),Tableau6[[#This Row],[Position 2023]],Tableau6[[#This Row],[2023]]-M$2)</f>
        <v>#N/A</v>
      </c>
      <c r="O7" s="35" t="e">
        <f>Tableau6[[#This Row],[Cumul 2023]]-Tableau6[[#This Row],[Cumul 2022]]</f>
        <v>#N/A</v>
      </c>
      <c r="P7" s="37" t="e">
        <f>Tableau6[[#This Row],[Ecart 2022 2023]]/Tableau6[[#This Row],[Cumul 2022]]</f>
        <v>#N/A</v>
      </c>
      <c r="Q7" s="35" t="e">
        <f>MATCH(Tableau6[Jours Mois]&amp;"/"&amp;Tableau6[[#Headers],[2024]],tabSuiviConso[Jour Mois Année],0)</f>
        <v>#N/A</v>
      </c>
      <c r="R7" s="35" t="str">
        <f>IF(ISNA(Tableau6[[#This Row],[Position 2024]]),"",INDEX(tabSuiviConso[HP + HC
cumul],Tableau6[[#This Row],[Position 2024]],1))</f>
        <v/>
      </c>
      <c r="S7" s="56" t="e">
        <f>IF(ISNA(Tableau6[[#This Row],[Position 2024]]),Tableau6[[#This Row],[Position 2024]],Tableau6[[#This Row],[2024]]-R$2)</f>
        <v>#N/A</v>
      </c>
      <c r="T7" s="35" t="e">
        <f>Tableau6[[#This Row],[Cumul 2024]]-Tableau6[[#This Row],[Cumul 2023]]</f>
        <v>#N/A</v>
      </c>
      <c r="U7" s="36" t="e">
        <f>Tableau6[[#This Row],[Ecart 2023 2024]]/Tableau6[[#This Row],[Cumul 2023]]</f>
        <v>#N/A</v>
      </c>
    </row>
    <row r="8" spans="1:21" x14ac:dyDescent="0.2">
      <c r="A8" s="35">
        <v>1</v>
      </c>
      <c r="B8" s="35">
        <v>6</v>
      </c>
      <c r="C8" s="35" t="str">
        <f>Tableau6[Jour]&amp;"/"&amp;Tableau6[Mois]</f>
        <v>6/1</v>
      </c>
      <c r="D8" s="35" t="e">
        <f>MATCH(Tableau6[Jours Mois]&amp;"/"&amp;Tableau6[[#Headers],[2021]],tabSuiviConso[Jour Mois Année],0)</f>
        <v>#N/A</v>
      </c>
      <c r="E8" s="19" t="str">
        <f>IF(ISNA(Tableau6[[#This Row],[Position 2021]]),"",INDEX(tabSuiviConso[HP + HC
cumul],Tableau6[[#This Row],[Position 2021]],1))</f>
        <v/>
      </c>
      <c r="F8" s="56" t="e">
        <f>IF(ISNA(Tableau6[[#This Row],[Position 2021]]),Tableau6[[#This Row],[Position 2021]],Tableau6[[#This Row],[2021]]-E$2)</f>
        <v>#N/A</v>
      </c>
      <c r="G8" s="35" t="e">
        <f>MATCH(Tableau6[Jours Mois]&amp;"/"&amp;Tableau6[[#Headers],[2022]],tabSuiviConso[Jour Mois Année],0)</f>
        <v>#N/A</v>
      </c>
      <c r="H8" s="19" t="str">
        <f>IF(ISNA(Tableau6[[#This Row],[Position 2022]]),"",INDEX(tabSuiviConso[HP + HC
cumul],Tableau6[[#This Row],[Position 2022]],1))</f>
        <v/>
      </c>
      <c r="I8" s="56" t="e">
        <f>IF(ISNA(Tableau6[[#This Row],[Position 2022]]),Tableau6[[#This Row],[Position 2022]],Tableau6[[#This Row],[2022]]-H$2)</f>
        <v>#N/A</v>
      </c>
      <c r="J8" s="35" t="e">
        <f>MATCH(Tableau6[Jours Mois]&amp;"/"&amp;Tableau6[[#Headers],[2023]],tabSuiviConso[Jour Mois Année],0)</f>
        <v>#N/A</v>
      </c>
      <c r="K8" s="35" t="e">
        <f>Tableau6[[#This Row],[Cumul 2022]]-Tableau6[[#This Row],[Cumul 2021]]</f>
        <v>#N/A</v>
      </c>
      <c r="L8" s="37" t="e">
        <f>Tableau6[[#This Row],[Ecart 2021 2022]]/Tableau6[[#This Row],[Cumul 2021]]</f>
        <v>#N/A</v>
      </c>
      <c r="M8" s="19" t="str">
        <f>IF(ISNA(Tableau6[[#This Row],[Position 2023]]),"",INDEX(tabSuiviConso[HP + HC
cumul],Tableau6[[#This Row],[Position 2023]],1))</f>
        <v/>
      </c>
      <c r="N8" s="56" t="e">
        <f>IF(ISNA(Tableau6[[#This Row],[Position 2023]]),Tableau6[[#This Row],[Position 2023]],Tableau6[[#This Row],[2023]]-M$2)</f>
        <v>#N/A</v>
      </c>
      <c r="O8" s="35" t="e">
        <f>Tableau6[[#This Row],[Cumul 2023]]-Tableau6[[#This Row],[Cumul 2022]]</f>
        <v>#N/A</v>
      </c>
      <c r="P8" s="37" t="e">
        <f>Tableau6[[#This Row],[Ecart 2022 2023]]/Tableau6[[#This Row],[Cumul 2022]]</f>
        <v>#N/A</v>
      </c>
      <c r="Q8" s="35" t="e">
        <f>MATCH(Tableau6[Jours Mois]&amp;"/"&amp;Tableau6[[#Headers],[2024]],tabSuiviConso[Jour Mois Année],0)</f>
        <v>#N/A</v>
      </c>
      <c r="R8" s="35" t="str">
        <f>IF(ISNA(Tableau6[[#This Row],[Position 2024]]),"",INDEX(tabSuiviConso[HP + HC
cumul],Tableau6[[#This Row],[Position 2024]],1))</f>
        <v/>
      </c>
      <c r="S8" s="56" t="e">
        <f>IF(ISNA(Tableau6[[#This Row],[Position 2024]]),Tableau6[[#This Row],[Position 2024]],Tableau6[[#This Row],[2024]]-R$2)</f>
        <v>#N/A</v>
      </c>
      <c r="T8" s="35" t="e">
        <f>Tableau6[[#This Row],[Cumul 2024]]-Tableau6[[#This Row],[Cumul 2023]]</f>
        <v>#N/A</v>
      </c>
      <c r="U8" s="36" t="e">
        <f>Tableau6[[#This Row],[Ecart 2023 2024]]/Tableau6[[#This Row],[Cumul 2023]]</f>
        <v>#N/A</v>
      </c>
    </row>
    <row r="9" spans="1:21" x14ac:dyDescent="0.2">
      <c r="A9" s="35">
        <v>1</v>
      </c>
      <c r="B9" s="35">
        <v>7</v>
      </c>
      <c r="C9" s="35" t="str">
        <f>Tableau6[Jour]&amp;"/"&amp;Tableau6[Mois]</f>
        <v>7/1</v>
      </c>
      <c r="D9" s="35" t="e">
        <f>MATCH(Tableau6[Jours Mois]&amp;"/"&amp;Tableau6[[#Headers],[2021]],tabSuiviConso[Jour Mois Année],0)</f>
        <v>#N/A</v>
      </c>
      <c r="E9" s="19" t="str">
        <f>IF(ISNA(Tableau6[[#This Row],[Position 2021]]),"",INDEX(tabSuiviConso[HP + HC
cumul],Tableau6[[#This Row],[Position 2021]],1))</f>
        <v/>
      </c>
      <c r="F9" s="56" t="e">
        <f>IF(ISNA(Tableau6[[#This Row],[Position 2021]]),Tableau6[[#This Row],[Position 2021]],Tableau6[[#This Row],[2021]]-E$2)</f>
        <v>#N/A</v>
      </c>
      <c r="G9" s="35" t="e">
        <f>MATCH(Tableau6[Jours Mois]&amp;"/"&amp;Tableau6[[#Headers],[2022]],tabSuiviConso[Jour Mois Année],0)</f>
        <v>#N/A</v>
      </c>
      <c r="H9" s="19" t="str">
        <f>IF(ISNA(Tableau6[[#This Row],[Position 2022]]),"",INDEX(tabSuiviConso[HP + HC
cumul],Tableau6[[#This Row],[Position 2022]],1))</f>
        <v/>
      </c>
      <c r="I9" s="56" t="e">
        <f>IF(ISNA(Tableau6[[#This Row],[Position 2022]]),Tableau6[[#This Row],[Position 2022]],Tableau6[[#This Row],[2022]]-H$2)</f>
        <v>#N/A</v>
      </c>
      <c r="J9" s="35" t="e">
        <f>MATCH(Tableau6[Jours Mois]&amp;"/"&amp;Tableau6[[#Headers],[2023]],tabSuiviConso[Jour Mois Année],0)</f>
        <v>#N/A</v>
      </c>
      <c r="K9" s="35" t="e">
        <f>Tableau6[[#This Row],[Cumul 2022]]-Tableau6[[#This Row],[Cumul 2021]]</f>
        <v>#N/A</v>
      </c>
      <c r="L9" s="37" t="e">
        <f>Tableau6[[#This Row],[Ecart 2021 2022]]/Tableau6[[#This Row],[Cumul 2021]]</f>
        <v>#N/A</v>
      </c>
      <c r="M9" s="19" t="str">
        <f>IF(ISNA(Tableau6[[#This Row],[Position 2023]]),"",INDEX(tabSuiviConso[HP + HC
cumul],Tableau6[[#This Row],[Position 2023]],1))</f>
        <v/>
      </c>
      <c r="N9" s="56" t="e">
        <f>IF(ISNA(Tableau6[[#This Row],[Position 2023]]),Tableau6[[#This Row],[Position 2023]],Tableau6[[#This Row],[2023]]-M$2)</f>
        <v>#N/A</v>
      </c>
      <c r="O9" s="35" t="e">
        <f>Tableau6[[#This Row],[Cumul 2023]]-Tableau6[[#This Row],[Cumul 2022]]</f>
        <v>#N/A</v>
      </c>
      <c r="P9" s="37" t="e">
        <f>Tableau6[[#This Row],[Ecart 2022 2023]]/Tableau6[[#This Row],[Cumul 2022]]</f>
        <v>#N/A</v>
      </c>
      <c r="Q9" s="35" t="e">
        <f>MATCH(Tableau6[Jours Mois]&amp;"/"&amp;Tableau6[[#Headers],[2024]],tabSuiviConso[Jour Mois Année],0)</f>
        <v>#N/A</v>
      </c>
      <c r="R9" s="35" t="str">
        <f>IF(ISNA(Tableau6[[#This Row],[Position 2024]]),"",INDEX(tabSuiviConso[HP + HC
cumul],Tableau6[[#This Row],[Position 2024]],1))</f>
        <v/>
      </c>
      <c r="S9" s="56" t="e">
        <f>IF(ISNA(Tableau6[[#This Row],[Position 2024]]),Tableau6[[#This Row],[Position 2024]],Tableau6[[#This Row],[2024]]-R$2)</f>
        <v>#N/A</v>
      </c>
      <c r="T9" s="35" t="e">
        <f>Tableau6[[#This Row],[Cumul 2024]]-Tableau6[[#This Row],[Cumul 2023]]</f>
        <v>#N/A</v>
      </c>
      <c r="U9" s="36" t="e">
        <f>Tableau6[[#This Row],[Ecart 2023 2024]]/Tableau6[[#This Row],[Cumul 2023]]</f>
        <v>#N/A</v>
      </c>
    </row>
    <row r="10" spans="1:21" x14ac:dyDescent="0.2">
      <c r="A10" s="35">
        <v>1</v>
      </c>
      <c r="B10" s="35">
        <v>8</v>
      </c>
      <c r="C10" s="35" t="str">
        <f>Tableau6[Jour]&amp;"/"&amp;Tableau6[Mois]</f>
        <v>8/1</v>
      </c>
      <c r="D10" s="35" t="e">
        <f>MATCH(Tableau6[Jours Mois]&amp;"/"&amp;Tableau6[[#Headers],[2021]],tabSuiviConso[Jour Mois Année],0)</f>
        <v>#N/A</v>
      </c>
      <c r="E10" s="19" t="str">
        <f>IF(ISNA(Tableau6[[#This Row],[Position 2021]]),"",INDEX(tabSuiviConso[HP + HC
cumul],Tableau6[[#This Row],[Position 2021]],1))</f>
        <v/>
      </c>
      <c r="F10" s="56" t="e">
        <f>IF(ISNA(Tableau6[[#This Row],[Position 2021]]),Tableau6[[#This Row],[Position 2021]],Tableau6[[#This Row],[2021]]-E$2)</f>
        <v>#N/A</v>
      </c>
      <c r="G10" s="35" t="e">
        <f>MATCH(Tableau6[Jours Mois]&amp;"/"&amp;Tableau6[[#Headers],[2022]],tabSuiviConso[Jour Mois Année],0)</f>
        <v>#N/A</v>
      </c>
      <c r="H10" s="19" t="str">
        <f>IF(ISNA(Tableau6[[#This Row],[Position 2022]]),"",INDEX(tabSuiviConso[HP + HC
cumul],Tableau6[[#This Row],[Position 2022]],1))</f>
        <v/>
      </c>
      <c r="I10" s="56" t="e">
        <f>IF(ISNA(Tableau6[[#This Row],[Position 2022]]),Tableau6[[#This Row],[Position 2022]],Tableau6[[#This Row],[2022]]-H$2)</f>
        <v>#N/A</v>
      </c>
      <c r="J10" s="35" t="e">
        <f>MATCH(Tableau6[Jours Mois]&amp;"/"&amp;Tableau6[[#Headers],[2023]],tabSuiviConso[Jour Mois Année],0)</f>
        <v>#N/A</v>
      </c>
      <c r="K10" s="35" t="e">
        <f>Tableau6[[#This Row],[Cumul 2022]]-Tableau6[[#This Row],[Cumul 2021]]</f>
        <v>#N/A</v>
      </c>
      <c r="L10" s="37" t="e">
        <f>Tableau6[[#This Row],[Ecart 2021 2022]]/Tableau6[[#This Row],[Cumul 2021]]</f>
        <v>#N/A</v>
      </c>
      <c r="M10" s="19" t="str">
        <f>IF(ISNA(Tableau6[[#This Row],[Position 2023]]),"",INDEX(tabSuiviConso[HP + HC
cumul],Tableau6[[#This Row],[Position 2023]],1))</f>
        <v/>
      </c>
      <c r="N10" s="56" t="e">
        <f>IF(ISNA(Tableau6[[#This Row],[Position 2023]]),Tableau6[[#This Row],[Position 2023]],Tableau6[[#This Row],[2023]]-M$2)</f>
        <v>#N/A</v>
      </c>
      <c r="O10" s="35" t="e">
        <f>Tableau6[[#This Row],[Cumul 2023]]-Tableau6[[#This Row],[Cumul 2022]]</f>
        <v>#N/A</v>
      </c>
      <c r="P10" s="37" t="e">
        <f>Tableau6[[#This Row],[Ecart 2022 2023]]/Tableau6[[#This Row],[Cumul 2022]]</f>
        <v>#N/A</v>
      </c>
      <c r="Q10" s="35" t="e">
        <f>MATCH(Tableau6[Jours Mois]&amp;"/"&amp;Tableau6[[#Headers],[2024]],tabSuiviConso[Jour Mois Année],0)</f>
        <v>#N/A</v>
      </c>
      <c r="R10" s="35" t="str">
        <f>IF(ISNA(Tableau6[[#This Row],[Position 2024]]),"",INDEX(tabSuiviConso[HP + HC
cumul],Tableau6[[#This Row],[Position 2024]],1))</f>
        <v/>
      </c>
      <c r="S10" s="56" t="e">
        <f>IF(ISNA(Tableau6[[#This Row],[Position 2024]]),Tableau6[[#This Row],[Position 2024]],Tableau6[[#This Row],[2024]]-R$2)</f>
        <v>#N/A</v>
      </c>
      <c r="T10" s="35" t="e">
        <f>Tableau6[[#This Row],[Cumul 2024]]-Tableau6[[#This Row],[Cumul 2023]]</f>
        <v>#N/A</v>
      </c>
      <c r="U10" s="36" t="e">
        <f>Tableau6[[#This Row],[Ecart 2023 2024]]/Tableau6[[#This Row],[Cumul 2023]]</f>
        <v>#N/A</v>
      </c>
    </row>
    <row r="11" spans="1:21" x14ac:dyDescent="0.2">
      <c r="A11" s="35">
        <v>1</v>
      </c>
      <c r="B11" s="35">
        <v>9</v>
      </c>
      <c r="C11" s="35" t="str">
        <f>Tableau6[Jour]&amp;"/"&amp;Tableau6[Mois]</f>
        <v>9/1</v>
      </c>
      <c r="D11" s="35" t="e">
        <f>MATCH(Tableau6[Jours Mois]&amp;"/"&amp;Tableau6[[#Headers],[2021]],tabSuiviConso[Jour Mois Année],0)</f>
        <v>#N/A</v>
      </c>
      <c r="E11" s="19" t="str">
        <f>IF(ISNA(Tableau6[[#This Row],[Position 2021]]),"",INDEX(tabSuiviConso[HP + HC
cumul],Tableau6[[#This Row],[Position 2021]],1))</f>
        <v/>
      </c>
      <c r="F11" s="56" t="e">
        <f>IF(ISNA(Tableau6[[#This Row],[Position 2021]]),Tableau6[[#This Row],[Position 2021]],Tableau6[[#This Row],[2021]]-E$2)</f>
        <v>#N/A</v>
      </c>
      <c r="G11" s="35" t="e">
        <f>MATCH(Tableau6[Jours Mois]&amp;"/"&amp;Tableau6[[#Headers],[2022]],tabSuiviConso[Jour Mois Année],0)</f>
        <v>#N/A</v>
      </c>
      <c r="H11" s="19" t="str">
        <f>IF(ISNA(Tableau6[[#This Row],[Position 2022]]),"",INDEX(tabSuiviConso[HP + HC
cumul],Tableau6[[#This Row],[Position 2022]],1))</f>
        <v/>
      </c>
      <c r="I11" s="56" t="e">
        <f>IF(ISNA(Tableau6[[#This Row],[Position 2022]]),Tableau6[[#This Row],[Position 2022]],Tableau6[[#This Row],[2022]]-H$2)</f>
        <v>#N/A</v>
      </c>
      <c r="J11" s="35" t="e">
        <f>MATCH(Tableau6[Jours Mois]&amp;"/"&amp;Tableau6[[#Headers],[2023]],tabSuiviConso[Jour Mois Année],0)</f>
        <v>#N/A</v>
      </c>
      <c r="K11" s="35" t="e">
        <f>Tableau6[[#This Row],[Cumul 2022]]-Tableau6[[#This Row],[Cumul 2021]]</f>
        <v>#N/A</v>
      </c>
      <c r="L11" s="37" t="e">
        <f>Tableau6[[#This Row],[Ecart 2021 2022]]/Tableau6[[#This Row],[Cumul 2021]]</f>
        <v>#N/A</v>
      </c>
      <c r="M11" s="19" t="str">
        <f>IF(ISNA(Tableau6[[#This Row],[Position 2023]]),"",INDEX(tabSuiviConso[HP + HC
cumul],Tableau6[[#This Row],[Position 2023]],1))</f>
        <v/>
      </c>
      <c r="N11" s="56" t="e">
        <f>IF(ISNA(Tableau6[[#This Row],[Position 2023]]),Tableau6[[#This Row],[Position 2023]],Tableau6[[#This Row],[2023]]-M$2)</f>
        <v>#N/A</v>
      </c>
      <c r="O11" s="35" t="e">
        <f>Tableau6[[#This Row],[Cumul 2023]]-Tableau6[[#This Row],[Cumul 2022]]</f>
        <v>#N/A</v>
      </c>
      <c r="P11" s="37" t="e">
        <f>Tableau6[[#This Row],[Ecart 2022 2023]]/Tableau6[[#This Row],[Cumul 2022]]</f>
        <v>#N/A</v>
      </c>
      <c r="Q11" s="35" t="e">
        <f>MATCH(Tableau6[Jours Mois]&amp;"/"&amp;Tableau6[[#Headers],[2024]],tabSuiviConso[Jour Mois Année],0)</f>
        <v>#N/A</v>
      </c>
      <c r="R11" s="35" t="str">
        <f>IF(ISNA(Tableau6[[#This Row],[Position 2024]]),"",INDEX(tabSuiviConso[HP + HC
cumul],Tableau6[[#This Row],[Position 2024]],1))</f>
        <v/>
      </c>
      <c r="S11" s="56" t="e">
        <f>IF(ISNA(Tableau6[[#This Row],[Position 2024]]),Tableau6[[#This Row],[Position 2024]],Tableau6[[#This Row],[2024]]-R$2)</f>
        <v>#N/A</v>
      </c>
      <c r="T11" s="35" t="e">
        <f>Tableau6[[#This Row],[Cumul 2024]]-Tableau6[[#This Row],[Cumul 2023]]</f>
        <v>#N/A</v>
      </c>
      <c r="U11" s="36" t="e">
        <f>Tableau6[[#This Row],[Ecart 2023 2024]]/Tableau6[[#This Row],[Cumul 2023]]</f>
        <v>#N/A</v>
      </c>
    </row>
    <row r="12" spans="1:21" x14ac:dyDescent="0.2">
      <c r="A12" s="35">
        <v>1</v>
      </c>
      <c r="B12" s="35">
        <v>10</v>
      </c>
      <c r="C12" s="35" t="str">
        <f>Tableau6[Jour]&amp;"/"&amp;Tableau6[Mois]</f>
        <v>10/1</v>
      </c>
      <c r="D12" s="35" t="e">
        <f>MATCH(Tableau6[Jours Mois]&amp;"/"&amp;Tableau6[[#Headers],[2021]],tabSuiviConso[Jour Mois Année],0)</f>
        <v>#N/A</v>
      </c>
      <c r="E12" s="19" t="str">
        <f>IF(ISNA(Tableau6[[#This Row],[Position 2021]]),"",INDEX(tabSuiviConso[HP + HC
cumul],Tableau6[[#This Row],[Position 2021]],1))</f>
        <v/>
      </c>
      <c r="F12" s="56" t="e">
        <f>IF(ISNA(Tableau6[[#This Row],[Position 2021]]),Tableau6[[#This Row],[Position 2021]],Tableau6[[#This Row],[2021]]-E$2)</f>
        <v>#N/A</v>
      </c>
      <c r="G12" s="35" t="e">
        <f>MATCH(Tableau6[Jours Mois]&amp;"/"&amp;Tableau6[[#Headers],[2022]],tabSuiviConso[Jour Mois Année],0)</f>
        <v>#N/A</v>
      </c>
      <c r="H12" s="19" t="str">
        <f>IF(ISNA(Tableau6[[#This Row],[Position 2022]]),"",INDEX(tabSuiviConso[HP + HC
cumul],Tableau6[[#This Row],[Position 2022]],1))</f>
        <v/>
      </c>
      <c r="I12" s="56" t="e">
        <f>IF(ISNA(Tableau6[[#This Row],[Position 2022]]),Tableau6[[#This Row],[Position 2022]],Tableau6[[#This Row],[2022]]-H$2)</f>
        <v>#N/A</v>
      </c>
      <c r="J12" s="35" t="e">
        <f>MATCH(Tableau6[Jours Mois]&amp;"/"&amp;Tableau6[[#Headers],[2023]],tabSuiviConso[Jour Mois Année],0)</f>
        <v>#N/A</v>
      </c>
      <c r="K12" s="35" t="e">
        <f>Tableau6[[#This Row],[Cumul 2022]]-Tableau6[[#This Row],[Cumul 2021]]</f>
        <v>#N/A</v>
      </c>
      <c r="L12" s="37" t="e">
        <f>Tableau6[[#This Row],[Ecart 2021 2022]]/Tableau6[[#This Row],[Cumul 2021]]</f>
        <v>#N/A</v>
      </c>
      <c r="M12" s="19" t="str">
        <f>IF(ISNA(Tableau6[[#This Row],[Position 2023]]),"",INDEX(tabSuiviConso[HP + HC
cumul],Tableau6[[#This Row],[Position 2023]],1))</f>
        <v/>
      </c>
      <c r="N12" s="56" t="e">
        <f>IF(ISNA(Tableau6[[#This Row],[Position 2023]]),Tableau6[[#This Row],[Position 2023]],Tableau6[[#This Row],[2023]]-M$2)</f>
        <v>#N/A</v>
      </c>
      <c r="O12" s="35" t="e">
        <f>Tableau6[[#This Row],[Cumul 2023]]-Tableau6[[#This Row],[Cumul 2022]]</f>
        <v>#N/A</v>
      </c>
      <c r="P12" s="37" t="e">
        <f>Tableau6[[#This Row],[Ecart 2022 2023]]/Tableau6[[#This Row],[Cumul 2022]]</f>
        <v>#N/A</v>
      </c>
      <c r="Q12" s="35" t="e">
        <f>MATCH(Tableau6[Jours Mois]&amp;"/"&amp;Tableau6[[#Headers],[2024]],tabSuiviConso[Jour Mois Année],0)</f>
        <v>#N/A</v>
      </c>
      <c r="R12" s="35" t="str">
        <f>IF(ISNA(Tableau6[[#This Row],[Position 2024]]),"",INDEX(tabSuiviConso[HP + HC
cumul],Tableau6[[#This Row],[Position 2024]],1))</f>
        <v/>
      </c>
      <c r="S12" s="56" t="e">
        <f>IF(ISNA(Tableau6[[#This Row],[Position 2024]]),Tableau6[[#This Row],[Position 2024]],Tableau6[[#This Row],[2024]]-R$2)</f>
        <v>#N/A</v>
      </c>
      <c r="T12" s="35" t="e">
        <f>Tableau6[[#This Row],[Cumul 2024]]-Tableau6[[#This Row],[Cumul 2023]]</f>
        <v>#N/A</v>
      </c>
      <c r="U12" s="36" t="e">
        <f>Tableau6[[#This Row],[Ecart 2023 2024]]/Tableau6[[#This Row],[Cumul 2023]]</f>
        <v>#N/A</v>
      </c>
    </row>
    <row r="13" spans="1:21" x14ac:dyDescent="0.2">
      <c r="A13" s="35">
        <v>1</v>
      </c>
      <c r="B13" s="35">
        <v>11</v>
      </c>
      <c r="C13" s="35" t="str">
        <f>Tableau6[Jour]&amp;"/"&amp;Tableau6[Mois]</f>
        <v>11/1</v>
      </c>
      <c r="D13" s="35" t="e">
        <f>MATCH(Tableau6[Jours Mois]&amp;"/"&amp;Tableau6[[#Headers],[2021]],tabSuiviConso[Jour Mois Année],0)</f>
        <v>#N/A</v>
      </c>
      <c r="E13" s="19" t="str">
        <f>IF(ISNA(Tableau6[[#This Row],[Position 2021]]),"",INDEX(tabSuiviConso[HP + HC
cumul],Tableau6[[#This Row],[Position 2021]],1))</f>
        <v/>
      </c>
      <c r="F13" s="56" t="e">
        <f>IF(ISNA(Tableau6[[#This Row],[Position 2021]]),Tableau6[[#This Row],[Position 2021]],Tableau6[[#This Row],[2021]]-E$2)</f>
        <v>#N/A</v>
      </c>
      <c r="G13" s="35" t="e">
        <f>MATCH(Tableau6[Jours Mois]&amp;"/"&amp;Tableau6[[#Headers],[2022]],tabSuiviConso[Jour Mois Année],0)</f>
        <v>#N/A</v>
      </c>
      <c r="H13" s="19" t="str">
        <f>IF(ISNA(Tableau6[[#This Row],[Position 2022]]),"",INDEX(tabSuiviConso[HP + HC
cumul],Tableau6[[#This Row],[Position 2022]],1))</f>
        <v/>
      </c>
      <c r="I13" s="56" t="e">
        <f>IF(ISNA(Tableau6[[#This Row],[Position 2022]]),Tableau6[[#This Row],[Position 2022]],Tableau6[[#This Row],[2022]]-H$2)</f>
        <v>#N/A</v>
      </c>
      <c r="J13" s="35" t="e">
        <f>MATCH(Tableau6[Jours Mois]&amp;"/"&amp;Tableau6[[#Headers],[2023]],tabSuiviConso[Jour Mois Année],0)</f>
        <v>#N/A</v>
      </c>
      <c r="K13" s="35" t="e">
        <f>Tableau6[[#This Row],[Cumul 2022]]-Tableau6[[#This Row],[Cumul 2021]]</f>
        <v>#N/A</v>
      </c>
      <c r="L13" s="37" t="e">
        <f>Tableau6[[#This Row],[Ecart 2021 2022]]/Tableau6[[#This Row],[Cumul 2021]]</f>
        <v>#N/A</v>
      </c>
      <c r="M13" s="19" t="str">
        <f>IF(ISNA(Tableau6[[#This Row],[Position 2023]]),"",INDEX(tabSuiviConso[HP + HC
cumul],Tableau6[[#This Row],[Position 2023]],1))</f>
        <v/>
      </c>
      <c r="N13" s="56" t="e">
        <f>IF(ISNA(Tableau6[[#This Row],[Position 2023]]),Tableau6[[#This Row],[Position 2023]],Tableau6[[#This Row],[2023]]-M$2)</f>
        <v>#N/A</v>
      </c>
      <c r="O13" s="35" t="e">
        <f>Tableau6[[#This Row],[Cumul 2023]]-Tableau6[[#This Row],[Cumul 2022]]</f>
        <v>#N/A</v>
      </c>
      <c r="P13" s="37" t="e">
        <f>Tableau6[[#This Row],[Ecart 2022 2023]]/Tableau6[[#This Row],[Cumul 2022]]</f>
        <v>#N/A</v>
      </c>
      <c r="Q13" s="35" t="e">
        <f>MATCH(Tableau6[Jours Mois]&amp;"/"&amp;Tableau6[[#Headers],[2024]],tabSuiviConso[Jour Mois Année],0)</f>
        <v>#N/A</v>
      </c>
      <c r="R13" s="35" t="str">
        <f>IF(ISNA(Tableau6[[#This Row],[Position 2024]]),"",INDEX(tabSuiviConso[HP + HC
cumul],Tableau6[[#This Row],[Position 2024]],1))</f>
        <v/>
      </c>
      <c r="S13" s="56" t="e">
        <f>IF(ISNA(Tableau6[[#This Row],[Position 2024]]),Tableau6[[#This Row],[Position 2024]],Tableau6[[#This Row],[2024]]-R$2)</f>
        <v>#N/A</v>
      </c>
      <c r="T13" s="35" t="e">
        <f>Tableau6[[#This Row],[Cumul 2024]]-Tableau6[[#This Row],[Cumul 2023]]</f>
        <v>#N/A</v>
      </c>
      <c r="U13" s="36" t="e">
        <f>Tableau6[[#This Row],[Ecart 2023 2024]]/Tableau6[[#This Row],[Cumul 2023]]</f>
        <v>#N/A</v>
      </c>
    </row>
    <row r="14" spans="1:21" x14ac:dyDescent="0.2">
      <c r="A14" s="35">
        <v>1</v>
      </c>
      <c r="B14" s="35">
        <v>12</v>
      </c>
      <c r="C14" s="35" t="str">
        <f>Tableau6[Jour]&amp;"/"&amp;Tableau6[Mois]</f>
        <v>12/1</v>
      </c>
      <c r="D14" s="35" t="e">
        <f>MATCH(Tableau6[Jours Mois]&amp;"/"&amp;Tableau6[[#Headers],[2021]],tabSuiviConso[Jour Mois Année],0)</f>
        <v>#N/A</v>
      </c>
      <c r="E14" s="19" t="str">
        <f>IF(ISNA(Tableau6[[#This Row],[Position 2021]]),"",INDEX(tabSuiviConso[HP + HC
cumul],Tableau6[[#This Row],[Position 2021]],1))</f>
        <v/>
      </c>
      <c r="F14" s="56" t="e">
        <f>IF(ISNA(Tableau6[[#This Row],[Position 2021]]),Tableau6[[#This Row],[Position 2021]],Tableau6[[#This Row],[2021]]-E$2)</f>
        <v>#N/A</v>
      </c>
      <c r="G14" s="35" t="e">
        <f>MATCH(Tableau6[Jours Mois]&amp;"/"&amp;Tableau6[[#Headers],[2022]],tabSuiviConso[Jour Mois Année],0)</f>
        <v>#N/A</v>
      </c>
      <c r="H14" s="19" t="str">
        <f>IF(ISNA(Tableau6[[#This Row],[Position 2022]]),"",INDEX(tabSuiviConso[HP + HC
cumul],Tableau6[[#This Row],[Position 2022]],1))</f>
        <v/>
      </c>
      <c r="I14" s="56" t="e">
        <f>IF(ISNA(Tableau6[[#This Row],[Position 2022]]),Tableau6[[#This Row],[Position 2022]],Tableau6[[#This Row],[2022]]-H$2)</f>
        <v>#N/A</v>
      </c>
      <c r="J14" s="35" t="e">
        <f>MATCH(Tableau6[Jours Mois]&amp;"/"&amp;Tableau6[[#Headers],[2023]],tabSuiviConso[Jour Mois Année],0)</f>
        <v>#N/A</v>
      </c>
      <c r="K14" s="35" t="e">
        <f>Tableau6[[#This Row],[Cumul 2022]]-Tableau6[[#This Row],[Cumul 2021]]</f>
        <v>#N/A</v>
      </c>
      <c r="L14" s="37" t="e">
        <f>Tableau6[[#This Row],[Ecart 2021 2022]]/Tableau6[[#This Row],[Cumul 2021]]</f>
        <v>#N/A</v>
      </c>
      <c r="M14" s="19" t="str">
        <f>IF(ISNA(Tableau6[[#This Row],[Position 2023]]),"",INDEX(tabSuiviConso[HP + HC
cumul],Tableau6[[#This Row],[Position 2023]],1))</f>
        <v/>
      </c>
      <c r="N14" s="56" t="e">
        <f>IF(ISNA(Tableau6[[#This Row],[Position 2023]]),Tableau6[[#This Row],[Position 2023]],Tableau6[[#This Row],[2023]]-M$2)</f>
        <v>#N/A</v>
      </c>
      <c r="O14" s="35" t="e">
        <f>Tableau6[[#This Row],[Cumul 2023]]-Tableau6[[#This Row],[Cumul 2022]]</f>
        <v>#N/A</v>
      </c>
      <c r="P14" s="37" t="e">
        <f>Tableau6[[#This Row],[Ecart 2022 2023]]/Tableau6[[#This Row],[Cumul 2022]]</f>
        <v>#N/A</v>
      </c>
      <c r="Q14" s="35" t="e">
        <f>MATCH(Tableau6[Jours Mois]&amp;"/"&amp;Tableau6[[#Headers],[2024]],tabSuiviConso[Jour Mois Année],0)</f>
        <v>#N/A</v>
      </c>
      <c r="R14" s="35" t="str">
        <f>IF(ISNA(Tableau6[[#This Row],[Position 2024]]),"",INDEX(tabSuiviConso[HP + HC
cumul],Tableau6[[#This Row],[Position 2024]],1))</f>
        <v/>
      </c>
      <c r="S14" s="56" t="e">
        <f>IF(ISNA(Tableau6[[#This Row],[Position 2024]]),Tableau6[[#This Row],[Position 2024]],Tableau6[[#This Row],[2024]]-R$2)</f>
        <v>#N/A</v>
      </c>
      <c r="T14" s="35" t="e">
        <f>Tableau6[[#This Row],[Cumul 2024]]-Tableau6[[#This Row],[Cumul 2023]]</f>
        <v>#N/A</v>
      </c>
      <c r="U14" s="36" t="e">
        <f>Tableau6[[#This Row],[Ecart 2023 2024]]/Tableau6[[#This Row],[Cumul 2023]]</f>
        <v>#N/A</v>
      </c>
    </row>
    <row r="15" spans="1:21" x14ac:dyDescent="0.2">
      <c r="A15" s="35">
        <v>1</v>
      </c>
      <c r="B15" s="35">
        <v>13</v>
      </c>
      <c r="C15" s="35" t="str">
        <f>Tableau6[Jour]&amp;"/"&amp;Tableau6[Mois]</f>
        <v>13/1</v>
      </c>
      <c r="D15" s="35" t="e">
        <f>MATCH(Tableau6[Jours Mois]&amp;"/"&amp;Tableau6[[#Headers],[2021]],tabSuiviConso[Jour Mois Année],0)</f>
        <v>#N/A</v>
      </c>
      <c r="E15" s="19" t="str">
        <f>IF(ISNA(Tableau6[[#This Row],[Position 2021]]),"",INDEX(tabSuiviConso[HP + HC
cumul],Tableau6[[#This Row],[Position 2021]],1))</f>
        <v/>
      </c>
      <c r="F15" s="56" t="e">
        <f>IF(ISNA(Tableau6[[#This Row],[Position 2021]]),Tableau6[[#This Row],[Position 2021]],Tableau6[[#This Row],[2021]]-E$2)</f>
        <v>#N/A</v>
      </c>
      <c r="G15" s="35" t="e">
        <f>MATCH(Tableau6[Jours Mois]&amp;"/"&amp;Tableau6[[#Headers],[2022]],tabSuiviConso[Jour Mois Année],0)</f>
        <v>#N/A</v>
      </c>
      <c r="H15" s="19" t="str">
        <f>IF(ISNA(Tableau6[[#This Row],[Position 2022]]),"",INDEX(tabSuiviConso[HP + HC
cumul],Tableau6[[#This Row],[Position 2022]],1))</f>
        <v/>
      </c>
      <c r="I15" s="56" t="e">
        <f>IF(ISNA(Tableau6[[#This Row],[Position 2022]]),Tableau6[[#This Row],[Position 2022]],Tableau6[[#This Row],[2022]]-H$2)</f>
        <v>#N/A</v>
      </c>
      <c r="J15" s="35" t="e">
        <f>MATCH(Tableau6[Jours Mois]&amp;"/"&amp;Tableau6[[#Headers],[2023]],tabSuiviConso[Jour Mois Année],0)</f>
        <v>#N/A</v>
      </c>
      <c r="K15" s="35" t="e">
        <f>Tableau6[[#This Row],[Cumul 2022]]-Tableau6[[#This Row],[Cumul 2021]]</f>
        <v>#N/A</v>
      </c>
      <c r="L15" s="37" t="e">
        <f>Tableau6[[#This Row],[Ecart 2021 2022]]/Tableau6[[#This Row],[Cumul 2021]]</f>
        <v>#N/A</v>
      </c>
      <c r="M15" s="19" t="str">
        <f>IF(ISNA(Tableau6[[#This Row],[Position 2023]]),"",INDEX(tabSuiviConso[HP + HC
cumul],Tableau6[[#This Row],[Position 2023]],1))</f>
        <v/>
      </c>
      <c r="N15" s="56" t="e">
        <f>IF(ISNA(Tableau6[[#This Row],[Position 2023]]),Tableau6[[#This Row],[Position 2023]],Tableau6[[#This Row],[2023]]-M$2)</f>
        <v>#N/A</v>
      </c>
      <c r="O15" s="35" t="e">
        <f>Tableau6[[#This Row],[Cumul 2023]]-Tableau6[[#This Row],[Cumul 2022]]</f>
        <v>#N/A</v>
      </c>
      <c r="P15" s="37" t="e">
        <f>Tableau6[[#This Row],[Ecart 2022 2023]]/Tableau6[[#This Row],[Cumul 2022]]</f>
        <v>#N/A</v>
      </c>
      <c r="Q15" s="35" t="e">
        <f>MATCH(Tableau6[Jours Mois]&amp;"/"&amp;Tableau6[[#Headers],[2024]],tabSuiviConso[Jour Mois Année],0)</f>
        <v>#N/A</v>
      </c>
      <c r="R15" s="35" t="str">
        <f>IF(ISNA(Tableau6[[#This Row],[Position 2024]]),"",INDEX(tabSuiviConso[HP + HC
cumul],Tableau6[[#This Row],[Position 2024]],1))</f>
        <v/>
      </c>
      <c r="S15" s="56" t="e">
        <f>IF(ISNA(Tableau6[[#This Row],[Position 2024]]),Tableau6[[#This Row],[Position 2024]],Tableau6[[#This Row],[2024]]-R$2)</f>
        <v>#N/A</v>
      </c>
      <c r="T15" s="35" t="e">
        <f>Tableau6[[#This Row],[Cumul 2024]]-Tableau6[[#This Row],[Cumul 2023]]</f>
        <v>#N/A</v>
      </c>
      <c r="U15" s="36" t="e">
        <f>Tableau6[[#This Row],[Ecart 2023 2024]]/Tableau6[[#This Row],[Cumul 2023]]</f>
        <v>#N/A</v>
      </c>
    </row>
    <row r="16" spans="1:21" x14ac:dyDescent="0.2">
      <c r="A16" s="35">
        <v>1</v>
      </c>
      <c r="B16" s="35">
        <v>14</v>
      </c>
      <c r="C16" s="35" t="str">
        <f>Tableau6[Jour]&amp;"/"&amp;Tableau6[Mois]</f>
        <v>14/1</v>
      </c>
      <c r="D16" s="35" t="e">
        <f>MATCH(Tableau6[Jours Mois]&amp;"/"&amp;Tableau6[[#Headers],[2021]],tabSuiviConso[Jour Mois Année],0)</f>
        <v>#N/A</v>
      </c>
      <c r="E16" s="19" t="str">
        <f>IF(ISNA(Tableau6[[#This Row],[Position 2021]]),"",INDEX(tabSuiviConso[HP + HC
cumul],Tableau6[[#This Row],[Position 2021]],1))</f>
        <v/>
      </c>
      <c r="F16" s="56" t="e">
        <f>IF(ISNA(Tableau6[[#This Row],[Position 2021]]),Tableau6[[#This Row],[Position 2021]],Tableau6[[#This Row],[2021]]-E$2)</f>
        <v>#N/A</v>
      </c>
      <c r="G16" s="35" t="e">
        <f>MATCH(Tableau6[Jours Mois]&amp;"/"&amp;Tableau6[[#Headers],[2022]],tabSuiviConso[Jour Mois Année],0)</f>
        <v>#N/A</v>
      </c>
      <c r="H16" s="19" t="str">
        <f>IF(ISNA(Tableau6[[#This Row],[Position 2022]]),"",INDEX(tabSuiviConso[HP + HC
cumul],Tableau6[[#This Row],[Position 2022]],1))</f>
        <v/>
      </c>
      <c r="I16" s="56" t="e">
        <f>IF(ISNA(Tableau6[[#This Row],[Position 2022]]),Tableau6[[#This Row],[Position 2022]],Tableau6[[#This Row],[2022]]-H$2)</f>
        <v>#N/A</v>
      </c>
      <c r="J16" s="35" t="e">
        <f>MATCH(Tableau6[Jours Mois]&amp;"/"&amp;Tableau6[[#Headers],[2023]],tabSuiviConso[Jour Mois Année],0)</f>
        <v>#N/A</v>
      </c>
      <c r="K16" s="35" t="e">
        <f>Tableau6[[#This Row],[Cumul 2022]]-Tableau6[[#This Row],[Cumul 2021]]</f>
        <v>#N/A</v>
      </c>
      <c r="L16" s="37" t="e">
        <f>Tableau6[[#This Row],[Ecart 2021 2022]]/Tableau6[[#This Row],[Cumul 2021]]</f>
        <v>#N/A</v>
      </c>
      <c r="M16" s="19" t="str">
        <f>IF(ISNA(Tableau6[[#This Row],[Position 2023]]),"",INDEX(tabSuiviConso[HP + HC
cumul],Tableau6[[#This Row],[Position 2023]],1))</f>
        <v/>
      </c>
      <c r="N16" s="56" t="e">
        <f>IF(ISNA(Tableau6[[#This Row],[Position 2023]]),Tableau6[[#This Row],[Position 2023]],Tableau6[[#This Row],[2023]]-M$2)</f>
        <v>#N/A</v>
      </c>
      <c r="O16" s="35" t="e">
        <f>Tableau6[[#This Row],[Cumul 2023]]-Tableau6[[#This Row],[Cumul 2022]]</f>
        <v>#N/A</v>
      </c>
      <c r="P16" s="37" t="e">
        <f>Tableau6[[#This Row],[Ecart 2022 2023]]/Tableau6[[#This Row],[Cumul 2022]]</f>
        <v>#N/A</v>
      </c>
      <c r="Q16" s="35" t="e">
        <f>MATCH(Tableau6[Jours Mois]&amp;"/"&amp;Tableau6[[#Headers],[2024]],tabSuiviConso[Jour Mois Année],0)</f>
        <v>#N/A</v>
      </c>
      <c r="R16" s="35" t="str">
        <f>IF(ISNA(Tableau6[[#This Row],[Position 2024]]),"",INDEX(tabSuiviConso[HP + HC
cumul],Tableau6[[#This Row],[Position 2024]],1))</f>
        <v/>
      </c>
      <c r="S16" s="56" t="e">
        <f>IF(ISNA(Tableau6[[#This Row],[Position 2024]]),Tableau6[[#This Row],[Position 2024]],Tableau6[[#This Row],[2024]]-R$2)</f>
        <v>#N/A</v>
      </c>
      <c r="T16" s="35" t="e">
        <f>Tableau6[[#This Row],[Cumul 2024]]-Tableau6[[#This Row],[Cumul 2023]]</f>
        <v>#N/A</v>
      </c>
      <c r="U16" s="36" t="e">
        <f>Tableau6[[#This Row],[Ecart 2023 2024]]/Tableau6[[#This Row],[Cumul 2023]]</f>
        <v>#N/A</v>
      </c>
    </row>
    <row r="17" spans="1:21" x14ac:dyDescent="0.2">
      <c r="A17" s="35">
        <v>1</v>
      </c>
      <c r="B17" s="35">
        <v>15</v>
      </c>
      <c r="C17" s="35" t="str">
        <f>Tableau6[Jour]&amp;"/"&amp;Tableau6[Mois]</f>
        <v>15/1</v>
      </c>
      <c r="D17" s="35" t="e">
        <f>MATCH(Tableau6[Jours Mois]&amp;"/"&amp;Tableau6[[#Headers],[2021]],tabSuiviConso[Jour Mois Année],0)</f>
        <v>#N/A</v>
      </c>
      <c r="E17" s="19" t="str">
        <f>IF(ISNA(Tableau6[[#This Row],[Position 2021]]),"",INDEX(tabSuiviConso[HP + HC
cumul],Tableau6[[#This Row],[Position 2021]],1))</f>
        <v/>
      </c>
      <c r="F17" s="56" t="e">
        <f>IF(ISNA(Tableau6[[#This Row],[Position 2021]]),Tableau6[[#This Row],[Position 2021]],Tableau6[[#This Row],[2021]]-E$2)</f>
        <v>#N/A</v>
      </c>
      <c r="G17" s="35" t="e">
        <f>MATCH(Tableau6[Jours Mois]&amp;"/"&amp;Tableau6[[#Headers],[2022]],tabSuiviConso[Jour Mois Année],0)</f>
        <v>#N/A</v>
      </c>
      <c r="H17" s="19" t="str">
        <f>IF(ISNA(Tableau6[[#This Row],[Position 2022]]),"",INDEX(tabSuiviConso[HP + HC
cumul],Tableau6[[#This Row],[Position 2022]],1))</f>
        <v/>
      </c>
      <c r="I17" s="56" t="e">
        <f>IF(ISNA(Tableau6[[#This Row],[Position 2022]]),Tableau6[[#This Row],[Position 2022]],Tableau6[[#This Row],[2022]]-H$2)</f>
        <v>#N/A</v>
      </c>
      <c r="J17" s="35" t="e">
        <f>MATCH(Tableau6[Jours Mois]&amp;"/"&amp;Tableau6[[#Headers],[2023]],tabSuiviConso[Jour Mois Année],0)</f>
        <v>#N/A</v>
      </c>
      <c r="K17" s="35" t="e">
        <f>Tableau6[[#This Row],[Cumul 2022]]-Tableau6[[#This Row],[Cumul 2021]]</f>
        <v>#N/A</v>
      </c>
      <c r="L17" s="37" t="e">
        <f>Tableau6[[#This Row],[Ecart 2021 2022]]/Tableau6[[#This Row],[Cumul 2021]]</f>
        <v>#N/A</v>
      </c>
      <c r="M17" s="19" t="str">
        <f>IF(ISNA(Tableau6[[#This Row],[Position 2023]]),"",INDEX(tabSuiviConso[HP + HC
cumul],Tableau6[[#This Row],[Position 2023]],1))</f>
        <v/>
      </c>
      <c r="N17" s="56" t="e">
        <f>IF(ISNA(Tableau6[[#This Row],[Position 2023]]),Tableau6[[#This Row],[Position 2023]],Tableau6[[#This Row],[2023]]-M$2)</f>
        <v>#N/A</v>
      </c>
      <c r="O17" s="35" t="e">
        <f>Tableau6[[#This Row],[Cumul 2023]]-Tableau6[[#This Row],[Cumul 2022]]</f>
        <v>#N/A</v>
      </c>
      <c r="P17" s="37" t="e">
        <f>Tableau6[[#This Row],[Ecart 2022 2023]]/Tableau6[[#This Row],[Cumul 2022]]</f>
        <v>#N/A</v>
      </c>
      <c r="Q17" s="35" t="e">
        <f>MATCH(Tableau6[Jours Mois]&amp;"/"&amp;Tableau6[[#Headers],[2024]],tabSuiviConso[Jour Mois Année],0)</f>
        <v>#N/A</v>
      </c>
      <c r="R17" s="35" t="str">
        <f>IF(ISNA(Tableau6[[#This Row],[Position 2024]]),"",INDEX(tabSuiviConso[HP + HC
cumul],Tableau6[[#This Row],[Position 2024]],1))</f>
        <v/>
      </c>
      <c r="S17" s="56" t="e">
        <f>IF(ISNA(Tableau6[[#This Row],[Position 2024]]),Tableau6[[#This Row],[Position 2024]],Tableau6[[#This Row],[2024]]-R$2)</f>
        <v>#N/A</v>
      </c>
      <c r="T17" s="35" t="e">
        <f>Tableau6[[#This Row],[Cumul 2024]]-Tableau6[[#This Row],[Cumul 2023]]</f>
        <v>#N/A</v>
      </c>
      <c r="U17" s="36" t="e">
        <f>Tableau6[[#This Row],[Ecart 2023 2024]]/Tableau6[[#This Row],[Cumul 2023]]</f>
        <v>#N/A</v>
      </c>
    </row>
    <row r="18" spans="1:21" x14ac:dyDescent="0.2">
      <c r="A18" s="35">
        <v>1</v>
      </c>
      <c r="B18" s="35">
        <v>16</v>
      </c>
      <c r="C18" s="35" t="str">
        <f>Tableau6[Jour]&amp;"/"&amp;Tableau6[Mois]</f>
        <v>16/1</v>
      </c>
      <c r="D18" s="35" t="e">
        <f>MATCH(Tableau6[Jours Mois]&amp;"/"&amp;Tableau6[[#Headers],[2021]],tabSuiviConso[Jour Mois Année],0)</f>
        <v>#N/A</v>
      </c>
      <c r="E18" s="19" t="str">
        <f>IF(ISNA(Tableau6[[#This Row],[Position 2021]]),"",INDEX(tabSuiviConso[HP + HC
cumul],Tableau6[[#This Row],[Position 2021]],1))</f>
        <v/>
      </c>
      <c r="F18" s="56" t="e">
        <f>IF(ISNA(Tableau6[[#This Row],[Position 2021]]),Tableau6[[#This Row],[Position 2021]],Tableau6[[#This Row],[2021]]-E$2)</f>
        <v>#N/A</v>
      </c>
      <c r="G18" s="35" t="e">
        <f>MATCH(Tableau6[Jours Mois]&amp;"/"&amp;Tableau6[[#Headers],[2022]],tabSuiviConso[Jour Mois Année],0)</f>
        <v>#N/A</v>
      </c>
      <c r="H18" s="19" t="str">
        <f>IF(ISNA(Tableau6[[#This Row],[Position 2022]]),"",INDEX(tabSuiviConso[HP + HC
cumul],Tableau6[[#This Row],[Position 2022]],1))</f>
        <v/>
      </c>
      <c r="I18" s="56" t="e">
        <f>IF(ISNA(Tableau6[[#This Row],[Position 2022]]),Tableau6[[#This Row],[Position 2022]],Tableau6[[#This Row],[2022]]-H$2)</f>
        <v>#N/A</v>
      </c>
      <c r="J18" s="35" t="e">
        <f>MATCH(Tableau6[Jours Mois]&amp;"/"&amp;Tableau6[[#Headers],[2023]],tabSuiviConso[Jour Mois Année],0)</f>
        <v>#N/A</v>
      </c>
      <c r="K18" s="35" t="e">
        <f>Tableau6[[#This Row],[Cumul 2022]]-Tableau6[[#This Row],[Cumul 2021]]</f>
        <v>#N/A</v>
      </c>
      <c r="L18" s="37" t="e">
        <f>Tableau6[[#This Row],[Ecart 2021 2022]]/Tableau6[[#This Row],[Cumul 2021]]</f>
        <v>#N/A</v>
      </c>
      <c r="M18" s="19" t="str">
        <f>IF(ISNA(Tableau6[[#This Row],[Position 2023]]),"",INDEX(tabSuiviConso[HP + HC
cumul],Tableau6[[#This Row],[Position 2023]],1))</f>
        <v/>
      </c>
      <c r="N18" s="56" t="e">
        <f>IF(ISNA(Tableau6[[#This Row],[Position 2023]]),Tableau6[[#This Row],[Position 2023]],Tableau6[[#This Row],[2023]]-M$2)</f>
        <v>#N/A</v>
      </c>
      <c r="O18" s="35" t="e">
        <f>Tableau6[[#This Row],[Cumul 2023]]-Tableau6[[#This Row],[Cumul 2022]]</f>
        <v>#N/A</v>
      </c>
      <c r="P18" s="37" t="e">
        <f>Tableau6[[#This Row],[Ecart 2022 2023]]/Tableau6[[#This Row],[Cumul 2022]]</f>
        <v>#N/A</v>
      </c>
      <c r="Q18" s="35" t="e">
        <f>MATCH(Tableau6[Jours Mois]&amp;"/"&amp;Tableau6[[#Headers],[2024]],tabSuiviConso[Jour Mois Année],0)</f>
        <v>#N/A</v>
      </c>
      <c r="R18" s="35" t="str">
        <f>IF(ISNA(Tableau6[[#This Row],[Position 2024]]),"",INDEX(tabSuiviConso[HP + HC
cumul],Tableau6[[#This Row],[Position 2024]],1))</f>
        <v/>
      </c>
      <c r="S18" s="56" t="e">
        <f>IF(ISNA(Tableau6[[#This Row],[Position 2024]]),Tableau6[[#This Row],[Position 2024]],Tableau6[[#This Row],[2024]]-R$2)</f>
        <v>#N/A</v>
      </c>
      <c r="T18" s="35" t="e">
        <f>Tableau6[[#This Row],[Cumul 2024]]-Tableau6[[#This Row],[Cumul 2023]]</f>
        <v>#N/A</v>
      </c>
      <c r="U18" s="36" t="e">
        <f>Tableau6[[#This Row],[Ecart 2023 2024]]/Tableau6[[#This Row],[Cumul 2023]]</f>
        <v>#N/A</v>
      </c>
    </row>
    <row r="19" spans="1:21" x14ac:dyDescent="0.2">
      <c r="A19" s="35">
        <v>1</v>
      </c>
      <c r="B19" s="35">
        <v>17</v>
      </c>
      <c r="C19" s="35" t="str">
        <f>Tableau6[Jour]&amp;"/"&amp;Tableau6[Mois]</f>
        <v>17/1</v>
      </c>
      <c r="D19" s="35" t="e">
        <f>MATCH(Tableau6[Jours Mois]&amp;"/"&amp;Tableau6[[#Headers],[2021]],tabSuiviConso[Jour Mois Année],0)</f>
        <v>#N/A</v>
      </c>
      <c r="E19" s="19" t="str">
        <f>IF(ISNA(Tableau6[[#This Row],[Position 2021]]),"",INDEX(tabSuiviConso[HP + HC
cumul],Tableau6[[#This Row],[Position 2021]],1))</f>
        <v/>
      </c>
      <c r="F19" s="56" t="e">
        <f>IF(ISNA(Tableau6[[#This Row],[Position 2021]]),Tableau6[[#This Row],[Position 2021]],Tableau6[[#This Row],[2021]]-E$2)</f>
        <v>#N/A</v>
      </c>
      <c r="G19" s="35" t="e">
        <f>MATCH(Tableau6[Jours Mois]&amp;"/"&amp;Tableau6[[#Headers],[2022]],tabSuiviConso[Jour Mois Année],0)</f>
        <v>#N/A</v>
      </c>
      <c r="H19" s="19" t="str">
        <f>IF(ISNA(Tableau6[[#This Row],[Position 2022]]),"",INDEX(tabSuiviConso[HP + HC
cumul],Tableau6[[#This Row],[Position 2022]],1))</f>
        <v/>
      </c>
      <c r="I19" s="56" t="e">
        <f>IF(ISNA(Tableau6[[#This Row],[Position 2022]]),Tableau6[[#This Row],[Position 2022]],Tableau6[[#This Row],[2022]]-H$2)</f>
        <v>#N/A</v>
      </c>
      <c r="J19" s="35" t="e">
        <f>MATCH(Tableau6[Jours Mois]&amp;"/"&amp;Tableau6[[#Headers],[2023]],tabSuiviConso[Jour Mois Année],0)</f>
        <v>#N/A</v>
      </c>
      <c r="K19" s="35" t="e">
        <f>Tableau6[[#This Row],[Cumul 2022]]-Tableau6[[#This Row],[Cumul 2021]]</f>
        <v>#N/A</v>
      </c>
      <c r="L19" s="37" t="e">
        <f>Tableau6[[#This Row],[Ecart 2021 2022]]/Tableau6[[#This Row],[Cumul 2021]]</f>
        <v>#N/A</v>
      </c>
      <c r="M19" s="19" t="str">
        <f>IF(ISNA(Tableau6[[#This Row],[Position 2023]]),"",INDEX(tabSuiviConso[HP + HC
cumul],Tableau6[[#This Row],[Position 2023]],1))</f>
        <v/>
      </c>
      <c r="N19" s="56" t="e">
        <f>IF(ISNA(Tableau6[[#This Row],[Position 2023]]),Tableau6[[#This Row],[Position 2023]],Tableau6[[#This Row],[2023]]-M$2)</f>
        <v>#N/A</v>
      </c>
      <c r="O19" s="35" t="e">
        <f>Tableau6[[#This Row],[Cumul 2023]]-Tableau6[[#This Row],[Cumul 2022]]</f>
        <v>#N/A</v>
      </c>
      <c r="P19" s="37" t="e">
        <f>Tableau6[[#This Row],[Ecart 2022 2023]]/Tableau6[[#This Row],[Cumul 2022]]</f>
        <v>#N/A</v>
      </c>
      <c r="Q19" s="35" t="e">
        <f>MATCH(Tableau6[Jours Mois]&amp;"/"&amp;Tableau6[[#Headers],[2024]],tabSuiviConso[Jour Mois Année],0)</f>
        <v>#N/A</v>
      </c>
      <c r="R19" s="35" t="str">
        <f>IF(ISNA(Tableau6[[#This Row],[Position 2024]]),"",INDEX(tabSuiviConso[HP + HC
cumul],Tableau6[[#This Row],[Position 2024]],1))</f>
        <v/>
      </c>
      <c r="S19" s="56" t="e">
        <f>IF(ISNA(Tableau6[[#This Row],[Position 2024]]),Tableau6[[#This Row],[Position 2024]],Tableau6[[#This Row],[2024]]-R$2)</f>
        <v>#N/A</v>
      </c>
      <c r="T19" s="35" t="e">
        <f>Tableau6[[#This Row],[Cumul 2024]]-Tableau6[[#This Row],[Cumul 2023]]</f>
        <v>#N/A</v>
      </c>
      <c r="U19" s="36" t="e">
        <f>Tableau6[[#This Row],[Ecart 2023 2024]]/Tableau6[[#This Row],[Cumul 2023]]</f>
        <v>#N/A</v>
      </c>
    </row>
    <row r="20" spans="1:21" x14ac:dyDescent="0.2">
      <c r="A20" s="35">
        <v>1</v>
      </c>
      <c r="B20" s="35">
        <v>18</v>
      </c>
      <c r="C20" s="35" t="str">
        <f>Tableau6[Jour]&amp;"/"&amp;Tableau6[Mois]</f>
        <v>18/1</v>
      </c>
      <c r="D20" s="35" t="e">
        <f>MATCH(Tableau6[Jours Mois]&amp;"/"&amp;Tableau6[[#Headers],[2021]],tabSuiviConso[Jour Mois Année],0)</f>
        <v>#N/A</v>
      </c>
      <c r="E20" s="19" t="str">
        <f>IF(ISNA(Tableau6[[#This Row],[Position 2021]]),"",INDEX(tabSuiviConso[HP + HC
cumul],Tableau6[[#This Row],[Position 2021]],1))</f>
        <v/>
      </c>
      <c r="F20" s="56" t="e">
        <f>IF(ISNA(Tableau6[[#This Row],[Position 2021]]),Tableau6[[#This Row],[Position 2021]],Tableau6[[#This Row],[2021]]-E$2)</f>
        <v>#N/A</v>
      </c>
      <c r="G20" s="35" t="e">
        <f>MATCH(Tableau6[Jours Mois]&amp;"/"&amp;Tableau6[[#Headers],[2022]],tabSuiviConso[Jour Mois Année],0)</f>
        <v>#N/A</v>
      </c>
      <c r="H20" s="19" t="str">
        <f>IF(ISNA(Tableau6[[#This Row],[Position 2022]]),"",INDEX(tabSuiviConso[HP + HC
cumul],Tableau6[[#This Row],[Position 2022]],1))</f>
        <v/>
      </c>
      <c r="I20" s="56" t="e">
        <f>IF(ISNA(Tableau6[[#This Row],[Position 2022]]),Tableau6[[#This Row],[Position 2022]],Tableau6[[#This Row],[2022]]-H$2)</f>
        <v>#N/A</v>
      </c>
      <c r="J20" s="35" t="e">
        <f>MATCH(Tableau6[Jours Mois]&amp;"/"&amp;Tableau6[[#Headers],[2023]],tabSuiviConso[Jour Mois Année],0)</f>
        <v>#N/A</v>
      </c>
      <c r="K20" s="35" t="e">
        <f>Tableau6[[#This Row],[Cumul 2022]]-Tableau6[[#This Row],[Cumul 2021]]</f>
        <v>#N/A</v>
      </c>
      <c r="L20" s="37" t="e">
        <f>Tableau6[[#This Row],[Ecart 2021 2022]]/Tableau6[[#This Row],[Cumul 2021]]</f>
        <v>#N/A</v>
      </c>
      <c r="M20" s="19" t="str">
        <f>IF(ISNA(Tableau6[[#This Row],[Position 2023]]),"",INDEX(tabSuiviConso[HP + HC
cumul],Tableau6[[#This Row],[Position 2023]],1))</f>
        <v/>
      </c>
      <c r="N20" s="56" t="e">
        <f>IF(ISNA(Tableau6[[#This Row],[Position 2023]]),Tableau6[[#This Row],[Position 2023]],Tableau6[[#This Row],[2023]]-M$2)</f>
        <v>#N/A</v>
      </c>
      <c r="O20" s="35" t="e">
        <f>Tableau6[[#This Row],[Cumul 2023]]-Tableau6[[#This Row],[Cumul 2022]]</f>
        <v>#N/A</v>
      </c>
      <c r="P20" s="37" t="e">
        <f>Tableau6[[#This Row],[Ecart 2022 2023]]/Tableau6[[#This Row],[Cumul 2022]]</f>
        <v>#N/A</v>
      </c>
      <c r="Q20" s="35" t="e">
        <f>MATCH(Tableau6[Jours Mois]&amp;"/"&amp;Tableau6[[#Headers],[2024]],tabSuiviConso[Jour Mois Année],0)</f>
        <v>#N/A</v>
      </c>
      <c r="R20" s="35" t="str">
        <f>IF(ISNA(Tableau6[[#This Row],[Position 2024]]),"",INDEX(tabSuiviConso[HP + HC
cumul],Tableau6[[#This Row],[Position 2024]],1))</f>
        <v/>
      </c>
      <c r="S20" s="56" t="e">
        <f>IF(ISNA(Tableau6[[#This Row],[Position 2024]]),Tableau6[[#This Row],[Position 2024]],Tableau6[[#This Row],[2024]]-R$2)</f>
        <v>#N/A</v>
      </c>
      <c r="T20" s="35" t="e">
        <f>Tableau6[[#This Row],[Cumul 2024]]-Tableau6[[#This Row],[Cumul 2023]]</f>
        <v>#N/A</v>
      </c>
      <c r="U20" s="36" t="e">
        <f>Tableau6[[#This Row],[Ecart 2023 2024]]/Tableau6[[#This Row],[Cumul 2023]]</f>
        <v>#N/A</v>
      </c>
    </row>
    <row r="21" spans="1:21" x14ac:dyDescent="0.2">
      <c r="A21" s="35">
        <v>1</v>
      </c>
      <c r="B21" s="35">
        <v>19</v>
      </c>
      <c r="C21" s="35" t="str">
        <f>Tableau6[Jour]&amp;"/"&amp;Tableau6[Mois]</f>
        <v>19/1</v>
      </c>
      <c r="D21" s="35" t="e">
        <f>MATCH(Tableau6[Jours Mois]&amp;"/"&amp;Tableau6[[#Headers],[2021]],tabSuiviConso[Jour Mois Année],0)</f>
        <v>#N/A</v>
      </c>
      <c r="E21" s="19" t="str">
        <f>IF(ISNA(Tableau6[[#This Row],[Position 2021]]),"",INDEX(tabSuiviConso[HP + HC
cumul],Tableau6[[#This Row],[Position 2021]],1))</f>
        <v/>
      </c>
      <c r="F21" s="56" t="e">
        <f>IF(ISNA(Tableau6[[#This Row],[Position 2021]]),Tableau6[[#This Row],[Position 2021]],Tableau6[[#This Row],[2021]]-E$2)</f>
        <v>#N/A</v>
      </c>
      <c r="G21" s="35" t="e">
        <f>MATCH(Tableau6[Jours Mois]&amp;"/"&amp;Tableau6[[#Headers],[2022]],tabSuiviConso[Jour Mois Année],0)</f>
        <v>#N/A</v>
      </c>
      <c r="H21" s="19" t="str">
        <f>IF(ISNA(Tableau6[[#This Row],[Position 2022]]),"",INDEX(tabSuiviConso[HP + HC
cumul],Tableau6[[#This Row],[Position 2022]],1))</f>
        <v/>
      </c>
      <c r="I21" s="56" t="e">
        <f>IF(ISNA(Tableau6[[#This Row],[Position 2022]]),Tableau6[[#This Row],[Position 2022]],Tableau6[[#This Row],[2022]]-H$2)</f>
        <v>#N/A</v>
      </c>
      <c r="J21" s="35" t="e">
        <f>MATCH(Tableau6[Jours Mois]&amp;"/"&amp;Tableau6[[#Headers],[2023]],tabSuiviConso[Jour Mois Année],0)</f>
        <v>#N/A</v>
      </c>
      <c r="K21" s="35" t="e">
        <f>Tableau6[[#This Row],[Cumul 2022]]-Tableau6[[#This Row],[Cumul 2021]]</f>
        <v>#N/A</v>
      </c>
      <c r="L21" s="37" t="e">
        <f>Tableau6[[#This Row],[Ecart 2021 2022]]/Tableau6[[#This Row],[Cumul 2021]]</f>
        <v>#N/A</v>
      </c>
      <c r="M21" s="19" t="str">
        <f>IF(ISNA(Tableau6[[#This Row],[Position 2023]]),"",INDEX(tabSuiviConso[HP + HC
cumul],Tableau6[[#This Row],[Position 2023]],1))</f>
        <v/>
      </c>
      <c r="N21" s="56" t="e">
        <f>IF(ISNA(Tableau6[[#This Row],[Position 2023]]),Tableau6[[#This Row],[Position 2023]],Tableau6[[#This Row],[2023]]-M$2)</f>
        <v>#N/A</v>
      </c>
      <c r="O21" s="35" t="e">
        <f>Tableau6[[#This Row],[Cumul 2023]]-Tableau6[[#This Row],[Cumul 2022]]</f>
        <v>#N/A</v>
      </c>
      <c r="P21" s="37" t="e">
        <f>Tableau6[[#This Row],[Ecart 2022 2023]]/Tableau6[[#This Row],[Cumul 2022]]</f>
        <v>#N/A</v>
      </c>
      <c r="Q21" s="35" t="e">
        <f>MATCH(Tableau6[Jours Mois]&amp;"/"&amp;Tableau6[[#Headers],[2024]],tabSuiviConso[Jour Mois Année],0)</f>
        <v>#N/A</v>
      </c>
      <c r="R21" s="35" t="str">
        <f>IF(ISNA(Tableau6[[#This Row],[Position 2024]]),"",INDEX(tabSuiviConso[HP + HC
cumul],Tableau6[[#This Row],[Position 2024]],1))</f>
        <v/>
      </c>
      <c r="S21" s="56" t="e">
        <f>IF(ISNA(Tableau6[[#This Row],[Position 2024]]),Tableau6[[#This Row],[Position 2024]],Tableau6[[#This Row],[2024]]-R$2)</f>
        <v>#N/A</v>
      </c>
      <c r="T21" s="35" t="e">
        <f>Tableau6[[#This Row],[Cumul 2024]]-Tableau6[[#This Row],[Cumul 2023]]</f>
        <v>#N/A</v>
      </c>
      <c r="U21" s="36" t="e">
        <f>Tableau6[[#This Row],[Ecart 2023 2024]]/Tableau6[[#This Row],[Cumul 2023]]</f>
        <v>#N/A</v>
      </c>
    </row>
    <row r="22" spans="1:21" x14ac:dyDescent="0.2">
      <c r="A22" s="35">
        <v>1</v>
      </c>
      <c r="B22" s="35">
        <v>20</v>
      </c>
      <c r="C22" s="35" t="str">
        <f>Tableau6[Jour]&amp;"/"&amp;Tableau6[Mois]</f>
        <v>20/1</v>
      </c>
      <c r="D22" s="35" t="e">
        <f>MATCH(Tableau6[Jours Mois]&amp;"/"&amp;Tableau6[[#Headers],[2021]],tabSuiviConso[Jour Mois Année],0)</f>
        <v>#N/A</v>
      </c>
      <c r="E22" s="19" t="str">
        <f>IF(ISNA(Tableau6[[#This Row],[Position 2021]]),"",INDEX(tabSuiviConso[HP + HC
cumul],Tableau6[[#This Row],[Position 2021]],1))</f>
        <v/>
      </c>
      <c r="F22" s="56" t="e">
        <f>IF(ISNA(Tableau6[[#This Row],[Position 2021]]),Tableau6[[#This Row],[Position 2021]],Tableau6[[#This Row],[2021]]-E$2)</f>
        <v>#N/A</v>
      </c>
      <c r="G22" s="35" t="e">
        <f>MATCH(Tableau6[Jours Mois]&amp;"/"&amp;Tableau6[[#Headers],[2022]],tabSuiviConso[Jour Mois Année],0)</f>
        <v>#N/A</v>
      </c>
      <c r="H22" s="19" t="str">
        <f>IF(ISNA(Tableau6[[#This Row],[Position 2022]]),"",INDEX(tabSuiviConso[HP + HC
cumul],Tableau6[[#This Row],[Position 2022]],1))</f>
        <v/>
      </c>
      <c r="I22" s="56" t="e">
        <f>IF(ISNA(Tableau6[[#This Row],[Position 2022]]),Tableau6[[#This Row],[Position 2022]],Tableau6[[#This Row],[2022]]-H$2)</f>
        <v>#N/A</v>
      </c>
      <c r="J22" s="35" t="e">
        <f>MATCH(Tableau6[Jours Mois]&amp;"/"&amp;Tableau6[[#Headers],[2023]],tabSuiviConso[Jour Mois Année],0)</f>
        <v>#N/A</v>
      </c>
      <c r="K22" s="35" t="e">
        <f>Tableau6[[#This Row],[Cumul 2022]]-Tableau6[[#This Row],[Cumul 2021]]</f>
        <v>#N/A</v>
      </c>
      <c r="L22" s="37" t="e">
        <f>Tableau6[[#This Row],[Ecart 2021 2022]]/Tableau6[[#This Row],[Cumul 2021]]</f>
        <v>#N/A</v>
      </c>
      <c r="M22" s="19" t="str">
        <f>IF(ISNA(Tableau6[[#This Row],[Position 2023]]),"",INDEX(tabSuiviConso[HP + HC
cumul],Tableau6[[#This Row],[Position 2023]],1))</f>
        <v/>
      </c>
      <c r="N22" s="56" t="e">
        <f>IF(ISNA(Tableau6[[#This Row],[Position 2023]]),Tableau6[[#This Row],[Position 2023]],Tableau6[[#This Row],[2023]]-M$2)</f>
        <v>#N/A</v>
      </c>
      <c r="O22" s="35" t="e">
        <f>Tableau6[[#This Row],[Cumul 2023]]-Tableau6[[#This Row],[Cumul 2022]]</f>
        <v>#N/A</v>
      </c>
      <c r="P22" s="37" t="e">
        <f>Tableau6[[#This Row],[Ecart 2022 2023]]/Tableau6[[#This Row],[Cumul 2022]]</f>
        <v>#N/A</v>
      </c>
      <c r="Q22" s="35" t="e">
        <f>MATCH(Tableau6[Jours Mois]&amp;"/"&amp;Tableau6[[#Headers],[2024]],tabSuiviConso[Jour Mois Année],0)</f>
        <v>#N/A</v>
      </c>
      <c r="R22" s="35" t="str">
        <f>IF(ISNA(Tableau6[[#This Row],[Position 2024]]),"",INDEX(tabSuiviConso[HP + HC
cumul],Tableau6[[#This Row],[Position 2024]],1))</f>
        <v/>
      </c>
      <c r="S22" s="56" t="e">
        <f>IF(ISNA(Tableau6[[#This Row],[Position 2024]]),Tableau6[[#This Row],[Position 2024]],Tableau6[[#This Row],[2024]]-R$2)</f>
        <v>#N/A</v>
      </c>
      <c r="T22" s="35" t="e">
        <f>Tableau6[[#This Row],[Cumul 2024]]-Tableau6[[#This Row],[Cumul 2023]]</f>
        <v>#N/A</v>
      </c>
      <c r="U22" s="36" t="e">
        <f>Tableau6[[#This Row],[Ecart 2023 2024]]/Tableau6[[#This Row],[Cumul 2023]]</f>
        <v>#N/A</v>
      </c>
    </row>
    <row r="23" spans="1:21" x14ac:dyDescent="0.2">
      <c r="A23" s="35">
        <v>1</v>
      </c>
      <c r="B23" s="35">
        <v>21</v>
      </c>
      <c r="C23" s="35" t="str">
        <f>Tableau6[Jour]&amp;"/"&amp;Tableau6[Mois]</f>
        <v>21/1</v>
      </c>
      <c r="D23" s="35" t="e">
        <f>MATCH(Tableau6[Jours Mois]&amp;"/"&amp;Tableau6[[#Headers],[2021]],tabSuiviConso[Jour Mois Année],0)</f>
        <v>#N/A</v>
      </c>
      <c r="E23" s="19" t="str">
        <f>IF(ISNA(Tableau6[[#This Row],[Position 2021]]),"",INDEX(tabSuiviConso[HP + HC
cumul],Tableau6[[#This Row],[Position 2021]],1))</f>
        <v/>
      </c>
      <c r="F23" s="56" t="e">
        <f>IF(ISNA(Tableau6[[#This Row],[Position 2021]]),Tableau6[[#This Row],[Position 2021]],Tableau6[[#This Row],[2021]]-E$2)</f>
        <v>#N/A</v>
      </c>
      <c r="G23" s="35" t="e">
        <f>MATCH(Tableau6[Jours Mois]&amp;"/"&amp;Tableau6[[#Headers],[2022]],tabSuiviConso[Jour Mois Année],0)</f>
        <v>#N/A</v>
      </c>
      <c r="H23" s="19" t="str">
        <f>IF(ISNA(Tableau6[[#This Row],[Position 2022]]),"",INDEX(tabSuiviConso[HP + HC
cumul],Tableau6[[#This Row],[Position 2022]],1))</f>
        <v/>
      </c>
      <c r="I23" s="56" t="e">
        <f>IF(ISNA(Tableau6[[#This Row],[Position 2022]]),Tableau6[[#This Row],[Position 2022]],Tableau6[[#This Row],[2022]]-H$2)</f>
        <v>#N/A</v>
      </c>
      <c r="J23" s="35" t="e">
        <f>MATCH(Tableau6[Jours Mois]&amp;"/"&amp;Tableau6[[#Headers],[2023]],tabSuiviConso[Jour Mois Année],0)</f>
        <v>#N/A</v>
      </c>
      <c r="K23" s="35" t="e">
        <f>Tableau6[[#This Row],[Cumul 2022]]-Tableau6[[#This Row],[Cumul 2021]]</f>
        <v>#N/A</v>
      </c>
      <c r="L23" s="37" t="e">
        <f>Tableau6[[#This Row],[Ecart 2021 2022]]/Tableau6[[#This Row],[Cumul 2021]]</f>
        <v>#N/A</v>
      </c>
      <c r="M23" s="19" t="str">
        <f>IF(ISNA(Tableau6[[#This Row],[Position 2023]]),"",INDEX(tabSuiviConso[HP + HC
cumul],Tableau6[[#This Row],[Position 2023]],1))</f>
        <v/>
      </c>
      <c r="N23" s="56" t="e">
        <f>IF(ISNA(Tableau6[[#This Row],[Position 2023]]),Tableau6[[#This Row],[Position 2023]],Tableau6[[#This Row],[2023]]-M$2)</f>
        <v>#N/A</v>
      </c>
      <c r="O23" s="35" t="e">
        <f>Tableau6[[#This Row],[Cumul 2023]]-Tableau6[[#This Row],[Cumul 2022]]</f>
        <v>#N/A</v>
      </c>
      <c r="P23" s="37" t="e">
        <f>Tableau6[[#This Row],[Ecart 2022 2023]]/Tableau6[[#This Row],[Cumul 2022]]</f>
        <v>#N/A</v>
      </c>
      <c r="Q23" s="35" t="e">
        <f>MATCH(Tableau6[Jours Mois]&amp;"/"&amp;Tableau6[[#Headers],[2024]],tabSuiviConso[Jour Mois Année],0)</f>
        <v>#N/A</v>
      </c>
      <c r="R23" s="35" t="str">
        <f>IF(ISNA(Tableau6[[#This Row],[Position 2024]]),"",INDEX(tabSuiviConso[HP + HC
cumul],Tableau6[[#This Row],[Position 2024]],1))</f>
        <v/>
      </c>
      <c r="S23" s="56" t="e">
        <f>IF(ISNA(Tableau6[[#This Row],[Position 2024]]),Tableau6[[#This Row],[Position 2024]],Tableau6[[#This Row],[2024]]-R$2)</f>
        <v>#N/A</v>
      </c>
      <c r="T23" s="35" t="e">
        <f>Tableau6[[#This Row],[Cumul 2024]]-Tableau6[[#This Row],[Cumul 2023]]</f>
        <v>#N/A</v>
      </c>
      <c r="U23" s="36" t="e">
        <f>Tableau6[[#This Row],[Ecart 2023 2024]]/Tableau6[[#This Row],[Cumul 2023]]</f>
        <v>#N/A</v>
      </c>
    </row>
    <row r="24" spans="1:21" x14ac:dyDescent="0.2">
      <c r="A24" s="35">
        <v>1</v>
      </c>
      <c r="B24" s="35">
        <v>22</v>
      </c>
      <c r="C24" s="35" t="str">
        <f>Tableau6[Jour]&amp;"/"&amp;Tableau6[Mois]</f>
        <v>22/1</v>
      </c>
      <c r="D24" s="35" t="e">
        <f>MATCH(Tableau6[Jours Mois]&amp;"/"&amp;Tableau6[[#Headers],[2021]],tabSuiviConso[Jour Mois Année],0)</f>
        <v>#N/A</v>
      </c>
      <c r="E24" s="19" t="str">
        <f>IF(ISNA(Tableau6[[#This Row],[Position 2021]]),"",INDEX(tabSuiviConso[HP + HC
cumul],Tableau6[[#This Row],[Position 2021]],1))</f>
        <v/>
      </c>
      <c r="F24" s="56" t="e">
        <f>IF(ISNA(Tableau6[[#This Row],[Position 2021]]),Tableau6[[#This Row],[Position 2021]],Tableau6[[#This Row],[2021]]-E$2)</f>
        <v>#N/A</v>
      </c>
      <c r="G24" s="35" t="e">
        <f>MATCH(Tableau6[Jours Mois]&amp;"/"&amp;Tableau6[[#Headers],[2022]],tabSuiviConso[Jour Mois Année],0)</f>
        <v>#N/A</v>
      </c>
      <c r="H24" s="19" t="str">
        <f>IF(ISNA(Tableau6[[#This Row],[Position 2022]]),"",INDEX(tabSuiviConso[HP + HC
cumul],Tableau6[[#This Row],[Position 2022]],1))</f>
        <v/>
      </c>
      <c r="I24" s="56" t="e">
        <f>IF(ISNA(Tableau6[[#This Row],[Position 2022]]),Tableau6[[#This Row],[Position 2022]],Tableau6[[#This Row],[2022]]-H$2)</f>
        <v>#N/A</v>
      </c>
      <c r="J24" s="35" t="e">
        <f>MATCH(Tableau6[Jours Mois]&amp;"/"&amp;Tableau6[[#Headers],[2023]],tabSuiviConso[Jour Mois Année],0)</f>
        <v>#N/A</v>
      </c>
      <c r="K24" s="35" t="e">
        <f>Tableau6[[#This Row],[Cumul 2022]]-Tableau6[[#This Row],[Cumul 2021]]</f>
        <v>#N/A</v>
      </c>
      <c r="L24" s="37" t="e">
        <f>Tableau6[[#This Row],[Ecart 2021 2022]]/Tableau6[[#This Row],[Cumul 2021]]</f>
        <v>#N/A</v>
      </c>
      <c r="M24" s="19" t="str">
        <f>IF(ISNA(Tableau6[[#This Row],[Position 2023]]),"",INDEX(tabSuiviConso[HP + HC
cumul],Tableau6[[#This Row],[Position 2023]],1))</f>
        <v/>
      </c>
      <c r="N24" s="56" t="e">
        <f>IF(ISNA(Tableau6[[#This Row],[Position 2023]]),Tableau6[[#This Row],[Position 2023]],Tableau6[[#This Row],[2023]]-M$2)</f>
        <v>#N/A</v>
      </c>
      <c r="O24" s="35" t="e">
        <f>Tableau6[[#This Row],[Cumul 2023]]-Tableau6[[#This Row],[Cumul 2022]]</f>
        <v>#N/A</v>
      </c>
      <c r="P24" s="37" t="e">
        <f>Tableau6[[#This Row],[Ecart 2022 2023]]/Tableau6[[#This Row],[Cumul 2022]]</f>
        <v>#N/A</v>
      </c>
      <c r="Q24" s="35" t="e">
        <f>MATCH(Tableau6[Jours Mois]&amp;"/"&amp;Tableau6[[#Headers],[2024]],tabSuiviConso[Jour Mois Année],0)</f>
        <v>#N/A</v>
      </c>
      <c r="R24" s="35" t="str">
        <f>IF(ISNA(Tableau6[[#This Row],[Position 2024]]),"",INDEX(tabSuiviConso[HP + HC
cumul],Tableau6[[#This Row],[Position 2024]],1))</f>
        <v/>
      </c>
      <c r="S24" s="56" t="e">
        <f>IF(ISNA(Tableau6[[#This Row],[Position 2024]]),Tableau6[[#This Row],[Position 2024]],Tableau6[[#This Row],[2024]]-R$2)</f>
        <v>#N/A</v>
      </c>
      <c r="T24" s="35" t="e">
        <f>Tableau6[[#This Row],[Cumul 2024]]-Tableau6[[#This Row],[Cumul 2023]]</f>
        <v>#N/A</v>
      </c>
      <c r="U24" s="36" t="e">
        <f>Tableau6[[#This Row],[Ecart 2023 2024]]/Tableau6[[#This Row],[Cumul 2023]]</f>
        <v>#N/A</v>
      </c>
    </row>
    <row r="25" spans="1:21" x14ac:dyDescent="0.2">
      <c r="A25" s="35">
        <v>1</v>
      </c>
      <c r="B25" s="35">
        <v>23</v>
      </c>
      <c r="C25" s="35" t="str">
        <f>Tableau6[Jour]&amp;"/"&amp;Tableau6[Mois]</f>
        <v>23/1</v>
      </c>
      <c r="D25" s="35" t="e">
        <f>MATCH(Tableau6[Jours Mois]&amp;"/"&amp;Tableau6[[#Headers],[2021]],tabSuiviConso[Jour Mois Année],0)</f>
        <v>#N/A</v>
      </c>
      <c r="E25" s="19" t="str">
        <f>IF(ISNA(Tableau6[[#This Row],[Position 2021]]),"",INDEX(tabSuiviConso[HP + HC
cumul],Tableau6[[#This Row],[Position 2021]],1))</f>
        <v/>
      </c>
      <c r="F25" s="56" t="e">
        <f>IF(ISNA(Tableau6[[#This Row],[Position 2021]]),Tableau6[[#This Row],[Position 2021]],Tableau6[[#This Row],[2021]]-E$2)</f>
        <v>#N/A</v>
      </c>
      <c r="G25" s="35" t="e">
        <f>MATCH(Tableau6[Jours Mois]&amp;"/"&amp;Tableau6[[#Headers],[2022]],tabSuiviConso[Jour Mois Année],0)</f>
        <v>#N/A</v>
      </c>
      <c r="H25" s="19" t="str">
        <f>IF(ISNA(Tableau6[[#This Row],[Position 2022]]),"",INDEX(tabSuiviConso[HP + HC
cumul],Tableau6[[#This Row],[Position 2022]],1))</f>
        <v/>
      </c>
      <c r="I25" s="56" t="e">
        <f>IF(ISNA(Tableau6[[#This Row],[Position 2022]]),Tableau6[[#This Row],[Position 2022]],Tableau6[[#This Row],[2022]]-H$2)</f>
        <v>#N/A</v>
      </c>
      <c r="J25" s="35" t="e">
        <f>MATCH(Tableau6[Jours Mois]&amp;"/"&amp;Tableau6[[#Headers],[2023]],tabSuiviConso[Jour Mois Année],0)</f>
        <v>#N/A</v>
      </c>
      <c r="K25" s="35" t="e">
        <f>Tableau6[[#This Row],[Cumul 2022]]-Tableau6[[#This Row],[Cumul 2021]]</f>
        <v>#N/A</v>
      </c>
      <c r="L25" s="37" t="e">
        <f>Tableau6[[#This Row],[Ecart 2021 2022]]/Tableau6[[#This Row],[Cumul 2021]]</f>
        <v>#N/A</v>
      </c>
      <c r="M25" s="19" t="str">
        <f>IF(ISNA(Tableau6[[#This Row],[Position 2023]]),"",INDEX(tabSuiviConso[HP + HC
cumul],Tableau6[[#This Row],[Position 2023]],1))</f>
        <v/>
      </c>
      <c r="N25" s="56" t="e">
        <f>IF(ISNA(Tableau6[[#This Row],[Position 2023]]),Tableau6[[#This Row],[Position 2023]],Tableau6[[#This Row],[2023]]-M$2)</f>
        <v>#N/A</v>
      </c>
      <c r="O25" s="35" t="e">
        <f>Tableau6[[#This Row],[Cumul 2023]]-Tableau6[[#This Row],[Cumul 2022]]</f>
        <v>#N/A</v>
      </c>
      <c r="P25" s="37" t="e">
        <f>Tableau6[[#This Row],[Ecart 2022 2023]]/Tableau6[[#This Row],[Cumul 2022]]</f>
        <v>#N/A</v>
      </c>
      <c r="Q25" s="35" t="e">
        <f>MATCH(Tableau6[Jours Mois]&amp;"/"&amp;Tableau6[[#Headers],[2024]],tabSuiviConso[Jour Mois Année],0)</f>
        <v>#N/A</v>
      </c>
      <c r="R25" s="35" t="str">
        <f>IF(ISNA(Tableau6[[#This Row],[Position 2024]]),"",INDEX(tabSuiviConso[HP + HC
cumul],Tableau6[[#This Row],[Position 2024]],1))</f>
        <v/>
      </c>
      <c r="S25" s="56" t="e">
        <f>IF(ISNA(Tableau6[[#This Row],[Position 2024]]),Tableau6[[#This Row],[Position 2024]],Tableau6[[#This Row],[2024]]-R$2)</f>
        <v>#N/A</v>
      </c>
      <c r="T25" s="35" t="e">
        <f>Tableau6[[#This Row],[Cumul 2024]]-Tableau6[[#This Row],[Cumul 2023]]</f>
        <v>#N/A</v>
      </c>
      <c r="U25" s="36" t="e">
        <f>Tableau6[[#This Row],[Ecart 2023 2024]]/Tableau6[[#This Row],[Cumul 2023]]</f>
        <v>#N/A</v>
      </c>
    </row>
    <row r="26" spans="1:21" x14ac:dyDescent="0.2">
      <c r="A26" s="35">
        <v>1</v>
      </c>
      <c r="B26" s="35">
        <v>24</v>
      </c>
      <c r="C26" s="35" t="str">
        <f>Tableau6[Jour]&amp;"/"&amp;Tableau6[Mois]</f>
        <v>24/1</v>
      </c>
      <c r="D26" s="35" t="e">
        <f>MATCH(Tableau6[Jours Mois]&amp;"/"&amp;Tableau6[[#Headers],[2021]],tabSuiviConso[Jour Mois Année],0)</f>
        <v>#N/A</v>
      </c>
      <c r="E26" s="19" t="str">
        <f>IF(ISNA(Tableau6[[#This Row],[Position 2021]]),"",INDEX(tabSuiviConso[HP + HC
cumul],Tableau6[[#This Row],[Position 2021]],1))</f>
        <v/>
      </c>
      <c r="F26" s="56" t="e">
        <f>IF(ISNA(Tableau6[[#This Row],[Position 2021]]),Tableau6[[#This Row],[Position 2021]],Tableau6[[#This Row],[2021]]-E$2)</f>
        <v>#N/A</v>
      </c>
      <c r="G26" s="35" t="e">
        <f>MATCH(Tableau6[Jours Mois]&amp;"/"&amp;Tableau6[[#Headers],[2022]],tabSuiviConso[Jour Mois Année],0)</f>
        <v>#N/A</v>
      </c>
      <c r="H26" s="19" t="str">
        <f>IF(ISNA(Tableau6[[#This Row],[Position 2022]]),"",INDEX(tabSuiviConso[HP + HC
cumul],Tableau6[[#This Row],[Position 2022]],1))</f>
        <v/>
      </c>
      <c r="I26" s="56" t="e">
        <f>IF(ISNA(Tableau6[[#This Row],[Position 2022]]),Tableau6[[#This Row],[Position 2022]],Tableau6[[#This Row],[2022]]-H$2)</f>
        <v>#N/A</v>
      </c>
      <c r="J26" s="35" t="e">
        <f>MATCH(Tableau6[Jours Mois]&amp;"/"&amp;Tableau6[[#Headers],[2023]],tabSuiviConso[Jour Mois Année],0)</f>
        <v>#N/A</v>
      </c>
      <c r="K26" s="35" t="e">
        <f>Tableau6[[#This Row],[Cumul 2022]]-Tableau6[[#This Row],[Cumul 2021]]</f>
        <v>#N/A</v>
      </c>
      <c r="L26" s="37" t="e">
        <f>Tableau6[[#This Row],[Ecart 2021 2022]]/Tableau6[[#This Row],[Cumul 2021]]</f>
        <v>#N/A</v>
      </c>
      <c r="M26" s="19" t="str">
        <f>IF(ISNA(Tableau6[[#This Row],[Position 2023]]),"",INDEX(tabSuiviConso[HP + HC
cumul],Tableau6[[#This Row],[Position 2023]],1))</f>
        <v/>
      </c>
      <c r="N26" s="56" t="e">
        <f>IF(ISNA(Tableau6[[#This Row],[Position 2023]]),Tableau6[[#This Row],[Position 2023]],Tableau6[[#This Row],[2023]]-M$2)</f>
        <v>#N/A</v>
      </c>
      <c r="O26" s="35" t="e">
        <f>Tableau6[[#This Row],[Cumul 2023]]-Tableau6[[#This Row],[Cumul 2022]]</f>
        <v>#N/A</v>
      </c>
      <c r="P26" s="37" t="e">
        <f>Tableau6[[#This Row],[Ecart 2022 2023]]/Tableau6[[#This Row],[Cumul 2022]]</f>
        <v>#N/A</v>
      </c>
      <c r="Q26" s="35" t="e">
        <f>MATCH(Tableau6[Jours Mois]&amp;"/"&amp;Tableau6[[#Headers],[2024]],tabSuiviConso[Jour Mois Année],0)</f>
        <v>#N/A</v>
      </c>
      <c r="R26" s="35" t="str">
        <f>IF(ISNA(Tableau6[[#This Row],[Position 2024]]),"",INDEX(tabSuiviConso[HP + HC
cumul],Tableau6[[#This Row],[Position 2024]],1))</f>
        <v/>
      </c>
      <c r="S26" s="56" t="e">
        <f>IF(ISNA(Tableau6[[#This Row],[Position 2024]]),Tableau6[[#This Row],[Position 2024]],Tableau6[[#This Row],[2024]]-R$2)</f>
        <v>#N/A</v>
      </c>
      <c r="T26" s="35" t="e">
        <f>Tableau6[[#This Row],[Cumul 2024]]-Tableau6[[#This Row],[Cumul 2023]]</f>
        <v>#N/A</v>
      </c>
      <c r="U26" s="36" t="e">
        <f>Tableau6[[#This Row],[Ecart 2023 2024]]/Tableau6[[#This Row],[Cumul 2023]]</f>
        <v>#N/A</v>
      </c>
    </row>
    <row r="27" spans="1:21" x14ac:dyDescent="0.2">
      <c r="A27" s="35">
        <v>1</v>
      </c>
      <c r="B27" s="35">
        <v>25</v>
      </c>
      <c r="C27" s="35" t="str">
        <f>Tableau6[Jour]&amp;"/"&amp;Tableau6[Mois]</f>
        <v>25/1</v>
      </c>
      <c r="D27" s="35" t="e">
        <f>MATCH(Tableau6[Jours Mois]&amp;"/"&amp;Tableau6[[#Headers],[2021]],tabSuiviConso[Jour Mois Année],0)</f>
        <v>#N/A</v>
      </c>
      <c r="E27" s="19" t="str">
        <f>IF(ISNA(Tableau6[[#This Row],[Position 2021]]),"",INDEX(tabSuiviConso[HP + HC
cumul],Tableau6[[#This Row],[Position 2021]],1))</f>
        <v/>
      </c>
      <c r="F27" s="56" t="e">
        <f>IF(ISNA(Tableau6[[#This Row],[Position 2021]]),Tableau6[[#This Row],[Position 2021]],Tableau6[[#This Row],[2021]]-E$2)</f>
        <v>#N/A</v>
      </c>
      <c r="G27" s="35" t="e">
        <f>MATCH(Tableau6[Jours Mois]&amp;"/"&amp;Tableau6[[#Headers],[2022]],tabSuiviConso[Jour Mois Année],0)</f>
        <v>#N/A</v>
      </c>
      <c r="H27" s="19" t="str">
        <f>IF(ISNA(Tableau6[[#This Row],[Position 2022]]),"",INDEX(tabSuiviConso[HP + HC
cumul],Tableau6[[#This Row],[Position 2022]],1))</f>
        <v/>
      </c>
      <c r="I27" s="56" t="e">
        <f>IF(ISNA(Tableau6[[#This Row],[Position 2022]]),Tableau6[[#This Row],[Position 2022]],Tableau6[[#This Row],[2022]]-H$2)</f>
        <v>#N/A</v>
      </c>
      <c r="J27" s="35" t="e">
        <f>MATCH(Tableau6[Jours Mois]&amp;"/"&amp;Tableau6[[#Headers],[2023]],tabSuiviConso[Jour Mois Année],0)</f>
        <v>#N/A</v>
      </c>
      <c r="K27" s="35" t="e">
        <f>Tableau6[[#This Row],[Cumul 2022]]-Tableau6[[#This Row],[Cumul 2021]]</f>
        <v>#N/A</v>
      </c>
      <c r="L27" s="37" t="e">
        <f>Tableau6[[#This Row],[Ecart 2021 2022]]/Tableau6[[#This Row],[Cumul 2021]]</f>
        <v>#N/A</v>
      </c>
      <c r="M27" s="19" t="str">
        <f>IF(ISNA(Tableau6[[#This Row],[Position 2023]]),"",INDEX(tabSuiviConso[HP + HC
cumul],Tableau6[[#This Row],[Position 2023]],1))</f>
        <v/>
      </c>
      <c r="N27" s="56" t="e">
        <f>IF(ISNA(Tableau6[[#This Row],[Position 2023]]),Tableau6[[#This Row],[Position 2023]],Tableau6[[#This Row],[2023]]-M$2)</f>
        <v>#N/A</v>
      </c>
      <c r="O27" s="35" t="e">
        <f>Tableau6[[#This Row],[Cumul 2023]]-Tableau6[[#This Row],[Cumul 2022]]</f>
        <v>#N/A</v>
      </c>
      <c r="P27" s="37" t="e">
        <f>Tableau6[[#This Row],[Ecart 2022 2023]]/Tableau6[[#This Row],[Cumul 2022]]</f>
        <v>#N/A</v>
      </c>
      <c r="Q27" s="35" t="e">
        <f>MATCH(Tableau6[Jours Mois]&amp;"/"&amp;Tableau6[[#Headers],[2024]],tabSuiviConso[Jour Mois Année],0)</f>
        <v>#N/A</v>
      </c>
      <c r="R27" s="35" t="str">
        <f>IF(ISNA(Tableau6[[#This Row],[Position 2024]]),"",INDEX(tabSuiviConso[HP + HC
cumul],Tableau6[[#This Row],[Position 2024]],1))</f>
        <v/>
      </c>
      <c r="S27" s="56" t="e">
        <f>IF(ISNA(Tableau6[[#This Row],[Position 2024]]),Tableau6[[#This Row],[Position 2024]],Tableau6[[#This Row],[2024]]-R$2)</f>
        <v>#N/A</v>
      </c>
      <c r="T27" s="35" t="e">
        <f>Tableau6[[#This Row],[Cumul 2024]]-Tableau6[[#This Row],[Cumul 2023]]</f>
        <v>#N/A</v>
      </c>
      <c r="U27" s="36" t="e">
        <f>Tableau6[[#This Row],[Ecart 2023 2024]]/Tableau6[[#This Row],[Cumul 2023]]</f>
        <v>#N/A</v>
      </c>
    </row>
    <row r="28" spans="1:21" x14ac:dyDescent="0.2">
      <c r="A28" s="35">
        <v>1</v>
      </c>
      <c r="B28" s="35">
        <v>26</v>
      </c>
      <c r="C28" s="35" t="str">
        <f>Tableau6[Jour]&amp;"/"&amp;Tableau6[Mois]</f>
        <v>26/1</v>
      </c>
      <c r="D28" s="35" t="e">
        <f>MATCH(Tableau6[Jours Mois]&amp;"/"&amp;Tableau6[[#Headers],[2021]],tabSuiviConso[Jour Mois Année],0)</f>
        <v>#N/A</v>
      </c>
      <c r="E28" s="19" t="str">
        <f>IF(ISNA(Tableau6[[#This Row],[Position 2021]]),"",INDEX(tabSuiviConso[HP + HC
cumul],Tableau6[[#This Row],[Position 2021]],1))</f>
        <v/>
      </c>
      <c r="F28" s="56" t="e">
        <f>IF(ISNA(Tableau6[[#This Row],[Position 2021]]),Tableau6[[#This Row],[Position 2021]],Tableau6[[#This Row],[2021]]-E$2)</f>
        <v>#N/A</v>
      </c>
      <c r="G28" s="35" t="e">
        <f>MATCH(Tableau6[Jours Mois]&amp;"/"&amp;Tableau6[[#Headers],[2022]],tabSuiviConso[Jour Mois Année],0)</f>
        <v>#N/A</v>
      </c>
      <c r="H28" s="19" t="str">
        <f>IF(ISNA(Tableau6[[#This Row],[Position 2022]]),"",INDEX(tabSuiviConso[HP + HC
cumul],Tableau6[[#This Row],[Position 2022]],1))</f>
        <v/>
      </c>
      <c r="I28" s="56" t="e">
        <f>IF(ISNA(Tableau6[[#This Row],[Position 2022]]),Tableau6[[#This Row],[Position 2022]],Tableau6[[#This Row],[2022]]-H$2)</f>
        <v>#N/A</v>
      </c>
      <c r="J28" s="35" t="e">
        <f>MATCH(Tableau6[Jours Mois]&amp;"/"&amp;Tableau6[[#Headers],[2023]],tabSuiviConso[Jour Mois Année],0)</f>
        <v>#N/A</v>
      </c>
      <c r="K28" s="35" t="e">
        <f>Tableau6[[#This Row],[Cumul 2022]]-Tableau6[[#This Row],[Cumul 2021]]</f>
        <v>#N/A</v>
      </c>
      <c r="L28" s="37" t="e">
        <f>Tableau6[[#This Row],[Ecart 2021 2022]]/Tableau6[[#This Row],[Cumul 2021]]</f>
        <v>#N/A</v>
      </c>
      <c r="M28" s="19" t="str">
        <f>IF(ISNA(Tableau6[[#This Row],[Position 2023]]),"",INDEX(tabSuiviConso[HP + HC
cumul],Tableau6[[#This Row],[Position 2023]],1))</f>
        <v/>
      </c>
      <c r="N28" s="56" t="e">
        <f>IF(ISNA(Tableau6[[#This Row],[Position 2023]]),Tableau6[[#This Row],[Position 2023]],Tableau6[[#This Row],[2023]]-M$2)</f>
        <v>#N/A</v>
      </c>
      <c r="O28" s="35" t="e">
        <f>Tableau6[[#This Row],[Cumul 2023]]-Tableau6[[#This Row],[Cumul 2022]]</f>
        <v>#N/A</v>
      </c>
      <c r="P28" s="37" t="e">
        <f>Tableau6[[#This Row],[Ecart 2022 2023]]/Tableau6[[#This Row],[Cumul 2022]]</f>
        <v>#N/A</v>
      </c>
      <c r="Q28" s="35" t="e">
        <f>MATCH(Tableau6[Jours Mois]&amp;"/"&amp;Tableau6[[#Headers],[2024]],tabSuiviConso[Jour Mois Année],0)</f>
        <v>#N/A</v>
      </c>
      <c r="R28" s="35" t="str">
        <f>IF(ISNA(Tableau6[[#This Row],[Position 2024]]),"",INDEX(tabSuiviConso[HP + HC
cumul],Tableau6[[#This Row],[Position 2024]],1))</f>
        <v/>
      </c>
      <c r="S28" s="56" t="e">
        <f>IF(ISNA(Tableau6[[#This Row],[Position 2024]]),Tableau6[[#This Row],[Position 2024]],Tableau6[[#This Row],[2024]]-R$2)</f>
        <v>#N/A</v>
      </c>
      <c r="T28" s="35" t="e">
        <f>Tableau6[[#This Row],[Cumul 2024]]-Tableau6[[#This Row],[Cumul 2023]]</f>
        <v>#N/A</v>
      </c>
      <c r="U28" s="36" t="e">
        <f>Tableau6[[#This Row],[Ecart 2023 2024]]/Tableau6[[#This Row],[Cumul 2023]]</f>
        <v>#N/A</v>
      </c>
    </row>
    <row r="29" spans="1:21" x14ac:dyDescent="0.2">
      <c r="A29" s="35">
        <v>1</v>
      </c>
      <c r="B29" s="35">
        <v>27</v>
      </c>
      <c r="C29" s="35" t="str">
        <f>Tableau6[Jour]&amp;"/"&amp;Tableau6[Mois]</f>
        <v>27/1</v>
      </c>
      <c r="D29" s="35" t="e">
        <f>MATCH(Tableau6[Jours Mois]&amp;"/"&amp;Tableau6[[#Headers],[2021]],tabSuiviConso[Jour Mois Année],0)</f>
        <v>#N/A</v>
      </c>
      <c r="E29" s="19" t="str">
        <f>IF(ISNA(Tableau6[[#This Row],[Position 2021]]),"",INDEX(tabSuiviConso[HP + HC
cumul],Tableau6[[#This Row],[Position 2021]],1))</f>
        <v/>
      </c>
      <c r="F29" s="56" t="e">
        <f>IF(ISNA(Tableau6[[#This Row],[Position 2021]]),Tableau6[[#This Row],[Position 2021]],Tableau6[[#This Row],[2021]]-E$2)</f>
        <v>#N/A</v>
      </c>
      <c r="G29" s="35" t="e">
        <f>MATCH(Tableau6[Jours Mois]&amp;"/"&amp;Tableau6[[#Headers],[2022]],tabSuiviConso[Jour Mois Année],0)</f>
        <v>#N/A</v>
      </c>
      <c r="H29" s="19" t="str">
        <f>IF(ISNA(Tableau6[[#This Row],[Position 2022]]),"",INDEX(tabSuiviConso[HP + HC
cumul],Tableau6[[#This Row],[Position 2022]],1))</f>
        <v/>
      </c>
      <c r="I29" s="56" t="e">
        <f>IF(ISNA(Tableau6[[#This Row],[Position 2022]]),Tableau6[[#This Row],[Position 2022]],Tableau6[[#This Row],[2022]]-H$2)</f>
        <v>#N/A</v>
      </c>
      <c r="J29" s="35" t="e">
        <f>MATCH(Tableau6[Jours Mois]&amp;"/"&amp;Tableau6[[#Headers],[2023]],tabSuiviConso[Jour Mois Année],0)</f>
        <v>#N/A</v>
      </c>
      <c r="K29" s="35" t="e">
        <f>Tableau6[[#This Row],[Cumul 2022]]-Tableau6[[#This Row],[Cumul 2021]]</f>
        <v>#N/A</v>
      </c>
      <c r="L29" s="37" t="e">
        <f>Tableau6[[#This Row],[Ecart 2021 2022]]/Tableau6[[#This Row],[Cumul 2021]]</f>
        <v>#N/A</v>
      </c>
      <c r="M29" s="19" t="str">
        <f>IF(ISNA(Tableau6[[#This Row],[Position 2023]]),"",INDEX(tabSuiviConso[HP + HC
cumul],Tableau6[[#This Row],[Position 2023]],1))</f>
        <v/>
      </c>
      <c r="N29" s="56" t="e">
        <f>IF(ISNA(Tableau6[[#This Row],[Position 2023]]),Tableau6[[#This Row],[Position 2023]],Tableau6[[#This Row],[2023]]-M$2)</f>
        <v>#N/A</v>
      </c>
      <c r="O29" s="35" t="e">
        <f>Tableau6[[#This Row],[Cumul 2023]]-Tableau6[[#This Row],[Cumul 2022]]</f>
        <v>#N/A</v>
      </c>
      <c r="P29" s="37" t="e">
        <f>Tableau6[[#This Row],[Ecart 2022 2023]]/Tableau6[[#This Row],[Cumul 2022]]</f>
        <v>#N/A</v>
      </c>
      <c r="Q29" s="35" t="e">
        <f>MATCH(Tableau6[Jours Mois]&amp;"/"&amp;Tableau6[[#Headers],[2024]],tabSuiviConso[Jour Mois Année],0)</f>
        <v>#N/A</v>
      </c>
      <c r="R29" s="35" t="str">
        <f>IF(ISNA(Tableau6[[#This Row],[Position 2024]]),"",INDEX(tabSuiviConso[HP + HC
cumul],Tableau6[[#This Row],[Position 2024]],1))</f>
        <v/>
      </c>
      <c r="S29" s="56" t="e">
        <f>IF(ISNA(Tableau6[[#This Row],[Position 2024]]),Tableau6[[#This Row],[Position 2024]],Tableau6[[#This Row],[2024]]-R$2)</f>
        <v>#N/A</v>
      </c>
      <c r="T29" s="35" t="e">
        <f>Tableau6[[#This Row],[Cumul 2024]]-Tableau6[[#This Row],[Cumul 2023]]</f>
        <v>#N/A</v>
      </c>
      <c r="U29" s="36" t="e">
        <f>Tableau6[[#This Row],[Ecart 2023 2024]]/Tableau6[[#This Row],[Cumul 2023]]</f>
        <v>#N/A</v>
      </c>
    </row>
    <row r="30" spans="1:21" x14ac:dyDescent="0.2">
      <c r="A30" s="35">
        <v>1</v>
      </c>
      <c r="B30" s="35">
        <v>28</v>
      </c>
      <c r="C30" s="35" t="str">
        <f>Tableau6[Jour]&amp;"/"&amp;Tableau6[Mois]</f>
        <v>28/1</v>
      </c>
      <c r="D30" s="35" t="e">
        <f>MATCH(Tableau6[Jours Mois]&amp;"/"&amp;Tableau6[[#Headers],[2021]],tabSuiviConso[Jour Mois Année],0)</f>
        <v>#N/A</v>
      </c>
      <c r="E30" s="19" t="str">
        <f>IF(ISNA(Tableau6[[#This Row],[Position 2021]]),"",INDEX(tabSuiviConso[HP + HC
cumul],Tableau6[[#This Row],[Position 2021]],1))</f>
        <v/>
      </c>
      <c r="F30" s="56" t="e">
        <f>IF(ISNA(Tableau6[[#This Row],[Position 2021]]),Tableau6[[#This Row],[Position 2021]],Tableau6[[#This Row],[2021]]-E$2)</f>
        <v>#N/A</v>
      </c>
      <c r="G30" s="35" t="e">
        <f>MATCH(Tableau6[Jours Mois]&amp;"/"&amp;Tableau6[[#Headers],[2022]],tabSuiviConso[Jour Mois Année],0)</f>
        <v>#N/A</v>
      </c>
      <c r="H30" s="19" t="str">
        <f>IF(ISNA(Tableau6[[#This Row],[Position 2022]]),"",INDEX(tabSuiviConso[HP + HC
cumul],Tableau6[[#This Row],[Position 2022]],1))</f>
        <v/>
      </c>
      <c r="I30" s="56" t="e">
        <f>IF(ISNA(Tableau6[[#This Row],[Position 2022]]),Tableau6[[#This Row],[Position 2022]],Tableau6[[#This Row],[2022]]-H$2)</f>
        <v>#N/A</v>
      </c>
      <c r="J30" s="35" t="e">
        <f>MATCH(Tableau6[Jours Mois]&amp;"/"&amp;Tableau6[[#Headers],[2023]],tabSuiviConso[Jour Mois Année],0)</f>
        <v>#N/A</v>
      </c>
      <c r="K30" s="35" t="e">
        <f>Tableau6[[#This Row],[Cumul 2022]]-Tableau6[[#This Row],[Cumul 2021]]</f>
        <v>#N/A</v>
      </c>
      <c r="L30" s="37" t="e">
        <f>Tableau6[[#This Row],[Ecart 2021 2022]]/Tableau6[[#This Row],[Cumul 2021]]</f>
        <v>#N/A</v>
      </c>
      <c r="M30" s="19" t="str">
        <f>IF(ISNA(Tableau6[[#This Row],[Position 2023]]),"",INDEX(tabSuiviConso[HP + HC
cumul],Tableau6[[#This Row],[Position 2023]],1))</f>
        <v/>
      </c>
      <c r="N30" s="56" t="e">
        <f>IF(ISNA(Tableau6[[#This Row],[Position 2023]]),Tableau6[[#This Row],[Position 2023]],Tableau6[[#This Row],[2023]]-M$2)</f>
        <v>#N/A</v>
      </c>
      <c r="O30" s="35" t="e">
        <f>Tableau6[[#This Row],[Cumul 2023]]-Tableau6[[#This Row],[Cumul 2022]]</f>
        <v>#N/A</v>
      </c>
      <c r="P30" s="37" t="e">
        <f>Tableau6[[#This Row],[Ecart 2022 2023]]/Tableau6[[#This Row],[Cumul 2022]]</f>
        <v>#N/A</v>
      </c>
      <c r="Q30" s="35" t="e">
        <f>MATCH(Tableau6[Jours Mois]&amp;"/"&amp;Tableau6[[#Headers],[2024]],tabSuiviConso[Jour Mois Année],0)</f>
        <v>#N/A</v>
      </c>
      <c r="R30" s="35" t="str">
        <f>IF(ISNA(Tableau6[[#This Row],[Position 2024]]),"",INDEX(tabSuiviConso[HP + HC
cumul],Tableau6[[#This Row],[Position 2024]],1))</f>
        <v/>
      </c>
      <c r="S30" s="56" t="e">
        <f>IF(ISNA(Tableau6[[#This Row],[Position 2024]]),Tableau6[[#This Row],[Position 2024]],Tableau6[[#This Row],[2024]]-R$2)</f>
        <v>#N/A</v>
      </c>
      <c r="T30" s="35" t="e">
        <f>Tableau6[[#This Row],[Cumul 2024]]-Tableau6[[#This Row],[Cumul 2023]]</f>
        <v>#N/A</v>
      </c>
      <c r="U30" s="36" t="e">
        <f>Tableau6[[#This Row],[Ecart 2023 2024]]/Tableau6[[#This Row],[Cumul 2023]]</f>
        <v>#N/A</v>
      </c>
    </row>
    <row r="31" spans="1:21" x14ac:dyDescent="0.2">
      <c r="A31" s="35">
        <v>1</v>
      </c>
      <c r="B31" s="35">
        <v>29</v>
      </c>
      <c r="C31" s="35" t="str">
        <f>Tableau6[Jour]&amp;"/"&amp;Tableau6[Mois]</f>
        <v>29/1</v>
      </c>
      <c r="D31" s="35" t="e">
        <f>MATCH(Tableau6[Jours Mois]&amp;"/"&amp;Tableau6[[#Headers],[2021]],tabSuiviConso[Jour Mois Année],0)</f>
        <v>#N/A</v>
      </c>
      <c r="E31" s="19" t="str">
        <f>IF(ISNA(Tableau6[[#This Row],[Position 2021]]),"",INDEX(tabSuiviConso[HP + HC
cumul],Tableau6[[#This Row],[Position 2021]],1))</f>
        <v/>
      </c>
      <c r="F31" s="56" t="e">
        <f>IF(ISNA(Tableau6[[#This Row],[Position 2021]]),Tableau6[[#This Row],[Position 2021]],Tableau6[[#This Row],[2021]]-E$2)</f>
        <v>#N/A</v>
      </c>
      <c r="G31" s="35" t="e">
        <f>MATCH(Tableau6[Jours Mois]&amp;"/"&amp;Tableau6[[#Headers],[2022]],tabSuiviConso[Jour Mois Année],0)</f>
        <v>#N/A</v>
      </c>
      <c r="H31" s="19" t="str">
        <f>IF(ISNA(Tableau6[[#This Row],[Position 2022]]),"",INDEX(tabSuiviConso[HP + HC
cumul],Tableau6[[#This Row],[Position 2022]],1))</f>
        <v/>
      </c>
      <c r="I31" s="56" t="e">
        <f>IF(ISNA(Tableau6[[#This Row],[Position 2022]]),Tableau6[[#This Row],[Position 2022]],Tableau6[[#This Row],[2022]]-H$2)</f>
        <v>#N/A</v>
      </c>
      <c r="J31" s="35" t="e">
        <f>MATCH(Tableau6[Jours Mois]&amp;"/"&amp;Tableau6[[#Headers],[2023]],tabSuiviConso[Jour Mois Année],0)</f>
        <v>#N/A</v>
      </c>
      <c r="K31" s="35" t="e">
        <f>Tableau6[[#This Row],[Cumul 2022]]-Tableau6[[#This Row],[Cumul 2021]]</f>
        <v>#N/A</v>
      </c>
      <c r="L31" s="37" t="e">
        <f>Tableau6[[#This Row],[Ecart 2021 2022]]/Tableau6[[#This Row],[Cumul 2021]]</f>
        <v>#N/A</v>
      </c>
      <c r="M31" s="19" t="str">
        <f>IF(ISNA(Tableau6[[#This Row],[Position 2023]]),"",INDEX(tabSuiviConso[HP + HC
cumul],Tableau6[[#This Row],[Position 2023]],1))</f>
        <v/>
      </c>
      <c r="N31" s="56" t="e">
        <f>IF(ISNA(Tableau6[[#This Row],[Position 2023]]),Tableau6[[#This Row],[Position 2023]],Tableau6[[#This Row],[2023]]-M$2)</f>
        <v>#N/A</v>
      </c>
      <c r="O31" s="35" t="e">
        <f>Tableau6[[#This Row],[Cumul 2023]]-Tableau6[[#This Row],[Cumul 2022]]</f>
        <v>#N/A</v>
      </c>
      <c r="P31" s="37" t="e">
        <f>Tableau6[[#This Row],[Ecart 2022 2023]]/Tableau6[[#This Row],[Cumul 2022]]</f>
        <v>#N/A</v>
      </c>
      <c r="Q31" s="35" t="e">
        <f>MATCH(Tableau6[Jours Mois]&amp;"/"&amp;Tableau6[[#Headers],[2024]],tabSuiviConso[Jour Mois Année],0)</f>
        <v>#N/A</v>
      </c>
      <c r="R31" s="35" t="str">
        <f>IF(ISNA(Tableau6[[#This Row],[Position 2024]]),"",INDEX(tabSuiviConso[HP + HC
cumul],Tableau6[[#This Row],[Position 2024]],1))</f>
        <v/>
      </c>
      <c r="S31" s="56" t="e">
        <f>IF(ISNA(Tableau6[[#This Row],[Position 2024]]),Tableau6[[#This Row],[Position 2024]],Tableau6[[#This Row],[2024]]-R$2)</f>
        <v>#N/A</v>
      </c>
      <c r="T31" s="35" t="e">
        <f>Tableau6[[#This Row],[Cumul 2024]]-Tableau6[[#This Row],[Cumul 2023]]</f>
        <v>#N/A</v>
      </c>
      <c r="U31" s="36" t="e">
        <f>Tableau6[[#This Row],[Ecart 2023 2024]]/Tableau6[[#This Row],[Cumul 2023]]</f>
        <v>#N/A</v>
      </c>
    </row>
    <row r="32" spans="1:21" x14ac:dyDescent="0.2">
      <c r="A32" s="35">
        <v>1</v>
      </c>
      <c r="B32" s="35">
        <v>30</v>
      </c>
      <c r="C32" s="35" t="str">
        <f>Tableau6[Jour]&amp;"/"&amp;Tableau6[Mois]</f>
        <v>30/1</v>
      </c>
      <c r="D32" s="35" t="e">
        <f>MATCH(Tableau6[Jours Mois]&amp;"/"&amp;Tableau6[[#Headers],[2021]],tabSuiviConso[Jour Mois Année],0)</f>
        <v>#N/A</v>
      </c>
      <c r="E32" s="19" t="str">
        <f>IF(ISNA(Tableau6[[#This Row],[Position 2021]]),"",INDEX(tabSuiviConso[HP + HC
cumul],Tableau6[[#This Row],[Position 2021]],1))</f>
        <v/>
      </c>
      <c r="F32" s="56" t="e">
        <f>IF(ISNA(Tableau6[[#This Row],[Position 2021]]),Tableau6[[#This Row],[Position 2021]],Tableau6[[#This Row],[2021]]-E$2)</f>
        <v>#N/A</v>
      </c>
      <c r="G32" s="35" t="e">
        <f>MATCH(Tableau6[Jours Mois]&amp;"/"&amp;Tableau6[[#Headers],[2022]],tabSuiviConso[Jour Mois Année],0)</f>
        <v>#N/A</v>
      </c>
      <c r="H32" s="19" t="str">
        <f>IF(ISNA(Tableau6[[#This Row],[Position 2022]]),"",INDEX(tabSuiviConso[HP + HC
cumul],Tableau6[[#This Row],[Position 2022]],1))</f>
        <v/>
      </c>
      <c r="I32" s="56" t="e">
        <f>IF(ISNA(Tableau6[[#This Row],[Position 2022]]),Tableau6[[#This Row],[Position 2022]],Tableau6[[#This Row],[2022]]-H$2)</f>
        <v>#N/A</v>
      </c>
      <c r="J32" s="35" t="e">
        <f>MATCH(Tableau6[Jours Mois]&amp;"/"&amp;Tableau6[[#Headers],[2023]],tabSuiviConso[Jour Mois Année],0)</f>
        <v>#N/A</v>
      </c>
      <c r="K32" s="35" t="e">
        <f>Tableau6[[#This Row],[Cumul 2022]]-Tableau6[[#This Row],[Cumul 2021]]</f>
        <v>#N/A</v>
      </c>
      <c r="L32" s="37" t="e">
        <f>Tableau6[[#This Row],[Ecart 2021 2022]]/Tableau6[[#This Row],[Cumul 2021]]</f>
        <v>#N/A</v>
      </c>
      <c r="M32" s="19" t="str">
        <f>IF(ISNA(Tableau6[[#This Row],[Position 2023]]),"",INDEX(tabSuiviConso[HP + HC
cumul],Tableau6[[#This Row],[Position 2023]],1))</f>
        <v/>
      </c>
      <c r="N32" s="56" t="e">
        <f>IF(ISNA(Tableau6[[#This Row],[Position 2023]]),Tableau6[[#This Row],[Position 2023]],Tableau6[[#This Row],[2023]]-M$2)</f>
        <v>#N/A</v>
      </c>
      <c r="O32" s="35" t="e">
        <f>Tableau6[[#This Row],[Cumul 2023]]-Tableau6[[#This Row],[Cumul 2022]]</f>
        <v>#N/A</v>
      </c>
      <c r="P32" s="37" t="e">
        <f>Tableau6[[#This Row],[Ecart 2022 2023]]/Tableau6[[#This Row],[Cumul 2022]]</f>
        <v>#N/A</v>
      </c>
      <c r="Q32" s="35" t="e">
        <f>MATCH(Tableau6[Jours Mois]&amp;"/"&amp;Tableau6[[#Headers],[2024]],tabSuiviConso[Jour Mois Année],0)</f>
        <v>#N/A</v>
      </c>
      <c r="R32" s="35" t="str">
        <f>IF(ISNA(Tableau6[[#This Row],[Position 2024]]),"",INDEX(tabSuiviConso[HP + HC
cumul],Tableau6[[#This Row],[Position 2024]],1))</f>
        <v/>
      </c>
      <c r="S32" s="56" t="e">
        <f>IF(ISNA(Tableau6[[#This Row],[Position 2024]]),Tableau6[[#This Row],[Position 2024]],Tableau6[[#This Row],[2024]]-R$2)</f>
        <v>#N/A</v>
      </c>
      <c r="T32" s="35" t="e">
        <f>Tableau6[[#This Row],[Cumul 2024]]-Tableau6[[#This Row],[Cumul 2023]]</f>
        <v>#N/A</v>
      </c>
      <c r="U32" s="36" t="e">
        <f>Tableau6[[#This Row],[Ecart 2023 2024]]/Tableau6[[#This Row],[Cumul 2023]]</f>
        <v>#N/A</v>
      </c>
    </row>
    <row r="33" spans="1:21" x14ac:dyDescent="0.2">
      <c r="A33" s="35">
        <v>1</v>
      </c>
      <c r="B33" s="35">
        <v>31</v>
      </c>
      <c r="C33" s="35" t="str">
        <f>Tableau6[Jour]&amp;"/"&amp;Tableau6[Mois]</f>
        <v>31/1</v>
      </c>
      <c r="D33" s="35" t="e">
        <f>MATCH(Tableau6[Jours Mois]&amp;"/"&amp;Tableau6[[#Headers],[2021]],tabSuiviConso[Jour Mois Année],0)</f>
        <v>#N/A</v>
      </c>
      <c r="E33" s="19" t="str">
        <f>IF(ISNA(Tableau6[[#This Row],[Position 2021]]),"",INDEX(tabSuiviConso[HP + HC
cumul],Tableau6[[#This Row],[Position 2021]],1))</f>
        <v/>
      </c>
      <c r="F33" s="56" t="e">
        <f>IF(ISNA(Tableau6[[#This Row],[Position 2021]]),Tableau6[[#This Row],[Position 2021]],Tableau6[[#This Row],[2021]]-E$2)</f>
        <v>#N/A</v>
      </c>
      <c r="G33" s="35" t="e">
        <f>MATCH(Tableau6[Jours Mois]&amp;"/"&amp;Tableau6[[#Headers],[2022]],tabSuiviConso[Jour Mois Année],0)</f>
        <v>#N/A</v>
      </c>
      <c r="H33" s="19" t="str">
        <f>IF(ISNA(Tableau6[[#This Row],[Position 2022]]),"",INDEX(tabSuiviConso[HP + HC
cumul],Tableau6[[#This Row],[Position 2022]],1))</f>
        <v/>
      </c>
      <c r="I33" s="56" t="e">
        <f>IF(ISNA(Tableau6[[#This Row],[Position 2022]]),Tableau6[[#This Row],[Position 2022]],Tableau6[[#This Row],[2022]]-H$2)</f>
        <v>#N/A</v>
      </c>
      <c r="J33" s="35" t="e">
        <f>MATCH(Tableau6[Jours Mois]&amp;"/"&amp;Tableau6[[#Headers],[2023]],tabSuiviConso[Jour Mois Année],0)</f>
        <v>#N/A</v>
      </c>
      <c r="K33" s="35" t="e">
        <f>Tableau6[[#This Row],[Cumul 2022]]-Tableau6[[#This Row],[Cumul 2021]]</f>
        <v>#N/A</v>
      </c>
      <c r="L33" s="37" t="e">
        <f>Tableau6[[#This Row],[Ecart 2021 2022]]/Tableau6[[#This Row],[Cumul 2021]]</f>
        <v>#N/A</v>
      </c>
      <c r="M33" s="19" t="str">
        <f>IF(ISNA(Tableau6[[#This Row],[Position 2023]]),"",INDEX(tabSuiviConso[HP + HC
cumul],Tableau6[[#This Row],[Position 2023]],1))</f>
        <v/>
      </c>
      <c r="N33" s="56" t="e">
        <f>IF(ISNA(Tableau6[[#This Row],[Position 2023]]),Tableau6[[#This Row],[Position 2023]],Tableau6[[#This Row],[2023]]-M$2)</f>
        <v>#N/A</v>
      </c>
      <c r="O33" s="35" t="e">
        <f>Tableau6[[#This Row],[Cumul 2023]]-Tableau6[[#This Row],[Cumul 2022]]</f>
        <v>#N/A</v>
      </c>
      <c r="P33" s="37" t="e">
        <f>Tableau6[[#This Row],[Ecart 2022 2023]]/Tableau6[[#This Row],[Cumul 2022]]</f>
        <v>#N/A</v>
      </c>
      <c r="Q33" s="35" t="e">
        <f>MATCH(Tableau6[Jours Mois]&amp;"/"&amp;Tableau6[[#Headers],[2024]],tabSuiviConso[Jour Mois Année],0)</f>
        <v>#N/A</v>
      </c>
      <c r="R33" s="35" t="str">
        <f>IF(ISNA(Tableau6[[#This Row],[Position 2024]]),"",INDEX(tabSuiviConso[HP + HC
cumul],Tableau6[[#This Row],[Position 2024]],1))</f>
        <v/>
      </c>
      <c r="S33" s="56" t="e">
        <f>IF(ISNA(Tableau6[[#This Row],[Position 2024]]),Tableau6[[#This Row],[Position 2024]],Tableau6[[#This Row],[2024]]-R$2)</f>
        <v>#N/A</v>
      </c>
      <c r="T33" s="35" t="e">
        <f>Tableau6[[#This Row],[Cumul 2024]]-Tableau6[[#This Row],[Cumul 2023]]</f>
        <v>#N/A</v>
      </c>
      <c r="U33" s="36" t="e">
        <f>Tableau6[[#This Row],[Ecart 2023 2024]]/Tableau6[[#This Row],[Cumul 2023]]</f>
        <v>#N/A</v>
      </c>
    </row>
    <row r="34" spans="1:21" x14ac:dyDescent="0.2">
      <c r="A34" s="35">
        <v>2</v>
      </c>
      <c r="B34" s="35">
        <v>1</v>
      </c>
      <c r="C34" s="35" t="str">
        <f>Tableau6[Jour]&amp;"/"&amp;Tableau6[Mois]</f>
        <v>1/2</v>
      </c>
      <c r="D34" s="35" t="e">
        <f>MATCH(Tableau6[Jours Mois]&amp;"/"&amp;Tableau6[[#Headers],[2021]],tabSuiviConso[Jour Mois Année],0)</f>
        <v>#N/A</v>
      </c>
      <c r="E34" s="35" t="str">
        <f>IF(ISNA(Tableau6[[#This Row],[Position 2021]]),"",INDEX(tabSuiviConso[HP + HC
cumul],Tableau6[[#This Row],[Position 2021]],1))</f>
        <v/>
      </c>
      <c r="F34" s="56" t="e">
        <f>IF(ISNA(Tableau6[[#This Row],[Position 2021]]),Tableau6[[#This Row],[Position 2021]],Tableau6[[#This Row],[2021]]-E$2)</f>
        <v>#N/A</v>
      </c>
      <c r="G34" s="35" t="e">
        <f>MATCH(Tableau6[Jours Mois]&amp;"/"&amp;Tableau6[[#Headers],[2022]],tabSuiviConso[Jour Mois Année],0)</f>
        <v>#N/A</v>
      </c>
      <c r="H34" s="35" t="str">
        <f>IF(ISNA(Tableau6[[#This Row],[Position 2022]]),"",INDEX(tabSuiviConso[HP + HC
cumul],Tableau6[[#This Row],[Position 2022]],1))</f>
        <v/>
      </c>
      <c r="I34" s="56" t="e">
        <f>IF(ISNA(Tableau6[[#This Row],[Position 2022]]),Tableau6[[#This Row],[Position 2022]],Tableau6[[#This Row],[2022]]-H$2)</f>
        <v>#N/A</v>
      </c>
      <c r="J34" s="35" t="e">
        <f>MATCH(Tableau6[Jours Mois]&amp;"/"&amp;Tableau6[[#Headers],[2023]],tabSuiviConso[Jour Mois Année],0)</f>
        <v>#N/A</v>
      </c>
      <c r="K34" s="35" t="e">
        <f>Tableau6[[#This Row],[Cumul 2022]]-Tableau6[[#This Row],[Cumul 2021]]</f>
        <v>#N/A</v>
      </c>
      <c r="L34" s="37" t="e">
        <f>Tableau6[[#This Row],[Ecart 2021 2022]]/Tableau6[[#This Row],[Cumul 2021]]</f>
        <v>#N/A</v>
      </c>
      <c r="M34" s="35" t="str">
        <f>IF(ISNA(Tableau6[[#This Row],[Position 2023]]),"",INDEX(tabSuiviConso[HP + HC
cumul],Tableau6[[#This Row],[Position 2023]],1))</f>
        <v/>
      </c>
      <c r="N34" s="56" t="e">
        <f>IF(ISNA(Tableau6[[#This Row],[Position 2023]]),Tableau6[[#This Row],[Position 2023]],Tableau6[[#This Row],[2023]]-M$2)</f>
        <v>#N/A</v>
      </c>
      <c r="O34" s="35" t="e">
        <f>Tableau6[[#This Row],[Cumul 2023]]-Tableau6[[#This Row],[Cumul 2022]]</f>
        <v>#N/A</v>
      </c>
      <c r="P34" s="37" t="e">
        <f>Tableau6[[#This Row],[Ecart 2022 2023]]/Tableau6[[#This Row],[Cumul 2022]]</f>
        <v>#N/A</v>
      </c>
      <c r="Q34" s="35" t="e">
        <f>MATCH(Tableau6[Jours Mois]&amp;"/"&amp;Tableau6[[#Headers],[2024]],tabSuiviConso[Jour Mois Année],0)</f>
        <v>#N/A</v>
      </c>
      <c r="R34" s="35" t="str">
        <f>IF(ISNA(Tableau6[[#This Row],[Position 2024]]),"",INDEX(tabSuiviConso[HP + HC
cumul],Tableau6[[#This Row],[Position 2024]],1))</f>
        <v/>
      </c>
      <c r="S34" s="56" t="e">
        <f>IF(ISNA(Tableau6[[#This Row],[Position 2024]]),Tableau6[[#This Row],[Position 2024]],Tableau6[[#This Row],[2024]]-R$2)</f>
        <v>#N/A</v>
      </c>
      <c r="T34" s="35" t="e">
        <f>Tableau6[[#This Row],[Cumul 2024]]-Tableau6[[#This Row],[Cumul 2023]]</f>
        <v>#N/A</v>
      </c>
      <c r="U34" s="36" t="e">
        <f>Tableau6[[#This Row],[Ecart 2023 2024]]/Tableau6[[#This Row],[Cumul 2023]]</f>
        <v>#N/A</v>
      </c>
    </row>
    <row r="35" spans="1:21" x14ac:dyDescent="0.2">
      <c r="A35" s="35">
        <v>2</v>
      </c>
      <c r="B35" s="35">
        <v>2</v>
      </c>
      <c r="C35" s="35" t="str">
        <f>Tableau6[Jour]&amp;"/"&amp;Tableau6[Mois]</f>
        <v>2/2</v>
      </c>
      <c r="D35" s="35" t="e">
        <f>MATCH(Tableau6[Jours Mois]&amp;"/"&amp;Tableau6[[#Headers],[2021]],tabSuiviConso[Jour Mois Année],0)</f>
        <v>#N/A</v>
      </c>
      <c r="E35" s="35" t="str">
        <f>IF(ISNA(Tableau6[[#This Row],[Position 2021]]),"",INDEX(tabSuiviConso[HP + HC
cumul],Tableau6[[#This Row],[Position 2021]],1))</f>
        <v/>
      </c>
      <c r="F35" s="56" t="e">
        <f>IF(ISNA(Tableau6[[#This Row],[Position 2021]]),Tableau6[[#This Row],[Position 2021]],Tableau6[[#This Row],[2021]]-E$2)</f>
        <v>#N/A</v>
      </c>
      <c r="G35" s="35" t="e">
        <f>MATCH(Tableau6[Jours Mois]&amp;"/"&amp;Tableau6[[#Headers],[2022]],tabSuiviConso[Jour Mois Année],0)</f>
        <v>#N/A</v>
      </c>
      <c r="H35" s="35" t="str">
        <f>IF(ISNA(Tableau6[[#This Row],[Position 2022]]),"",INDEX(tabSuiviConso[HP + HC
cumul],Tableau6[[#This Row],[Position 2022]],1))</f>
        <v/>
      </c>
      <c r="I35" s="56" t="e">
        <f>IF(ISNA(Tableau6[[#This Row],[Position 2022]]),Tableau6[[#This Row],[Position 2022]],Tableau6[[#This Row],[2022]]-H$2)</f>
        <v>#N/A</v>
      </c>
      <c r="J35" s="35" t="e">
        <f>MATCH(Tableau6[Jours Mois]&amp;"/"&amp;Tableau6[[#Headers],[2023]],tabSuiviConso[Jour Mois Année],0)</f>
        <v>#N/A</v>
      </c>
      <c r="K35" s="35" t="e">
        <f>Tableau6[[#This Row],[Cumul 2022]]-Tableau6[[#This Row],[Cumul 2021]]</f>
        <v>#N/A</v>
      </c>
      <c r="L35" s="37" t="e">
        <f>Tableau6[[#This Row],[Ecart 2021 2022]]/Tableau6[[#This Row],[Cumul 2021]]</f>
        <v>#N/A</v>
      </c>
      <c r="M35" s="35" t="str">
        <f>IF(ISNA(Tableau6[[#This Row],[Position 2023]]),"",INDEX(tabSuiviConso[HP + HC
cumul],Tableau6[[#This Row],[Position 2023]],1))</f>
        <v/>
      </c>
      <c r="N35" s="56" t="e">
        <f>IF(ISNA(Tableau6[[#This Row],[Position 2023]]),Tableau6[[#This Row],[Position 2023]],Tableau6[[#This Row],[2023]]-M$2)</f>
        <v>#N/A</v>
      </c>
      <c r="O35" s="35" t="e">
        <f>Tableau6[[#This Row],[Cumul 2023]]-Tableau6[[#This Row],[Cumul 2022]]</f>
        <v>#N/A</v>
      </c>
      <c r="P35" s="37" t="e">
        <f>Tableau6[[#This Row],[Ecart 2022 2023]]/Tableau6[[#This Row],[Cumul 2022]]</f>
        <v>#N/A</v>
      </c>
      <c r="Q35" s="35" t="e">
        <f>MATCH(Tableau6[Jours Mois]&amp;"/"&amp;Tableau6[[#Headers],[2024]],tabSuiviConso[Jour Mois Année],0)</f>
        <v>#N/A</v>
      </c>
      <c r="R35" s="35" t="str">
        <f>IF(ISNA(Tableau6[[#This Row],[Position 2024]]),"",INDEX(tabSuiviConso[HP + HC
cumul],Tableau6[[#This Row],[Position 2024]],1))</f>
        <v/>
      </c>
      <c r="S35" s="56" t="e">
        <f>IF(ISNA(Tableau6[[#This Row],[Position 2024]]),Tableau6[[#This Row],[Position 2024]],Tableau6[[#This Row],[2024]]-R$2)</f>
        <v>#N/A</v>
      </c>
      <c r="T35" s="35" t="e">
        <f>Tableau6[[#This Row],[Cumul 2024]]-Tableau6[[#This Row],[Cumul 2023]]</f>
        <v>#N/A</v>
      </c>
      <c r="U35" s="36" t="e">
        <f>Tableau6[[#This Row],[Ecart 2023 2024]]/Tableau6[[#This Row],[Cumul 2023]]</f>
        <v>#N/A</v>
      </c>
    </row>
    <row r="36" spans="1:21" x14ac:dyDescent="0.2">
      <c r="A36" s="35">
        <v>2</v>
      </c>
      <c r="B36" s="35">
        <v>3</v>
      </c>
      <c r="C36" s="35" t="str">
        <f>Tableau6[Jour]&amp;"/"&amp;Tableau6[Mois]</f>
        <v>3/2</v>
      </c>
      <c r="D36" s="35" t="e">
        <f>MATCH(Tableau6[Jours Mois]&amp;"/"&amp;Tableau6[[#Headers],[2021]],tabSuiviConso[Jour Mois Année],0)</f>
        <v>#N/A</v>
      </c>
      <c r="E36" s="35" t="str">
        <f>IF(ISNA(Tableau6[[#This Row],[Position 2021]]),"",INDEX(tabSuiviConso[HP + HC
cumul],Tableau6[[#This Row],[Position 2021]],1))</f>
        <v/>
      </c>
      <c r="F36" s="56" t="e">
        <f>IF(ISNA(Tableau6[[#This Row],[Position 2021]]),Tableau6[[#This Row],[Position 2021]],Tableau6[[#This Row],[2021]]-E$2)</f>
        <v>#N/A</v>
      </c>
      <c r="G36" s="35" t="e">
        <f>MATCH(Tableau6[Jours Mois]&amp;"/"&amp;Tableau6[[#Headers],[2022]],tabSuiviConso[Jour Mois Année],0)</f>
        <v>#N/A</v>
      </c>
      <c r="H36" s="35" t="str">
        <f>IF(ISNA(Tableau6[[#This Row],[Position 2022]]),"",INDEX(tabSuiviConso[HP + HC
cumul],Tableau6[[#This Row],[Position 2022]],1))</f>
        <v/>
      </c>
      <c r="I36" s="56" t="e">
        <f>IF(ISNA(Tableau6[[#This Row],[Position 2022]]),Tableau6[[#This Row],[Position 2022]],Tableau6[[#This Row],[2022]]-H$2)</f>
        <v>#N/A</v>
      </c>
      <c r="J36" s="35" t="e">
        <f>MATCH(Tableau6[Jours Mois]&amp;"/"&amp;Tableau6[[#Headers],[2023]],tabSuiviConso[Jour Mois Année],0)</f>
        <v>#N/A</v>
      </c>
      <c r="K36" s="35" t="e">
        <f>Tableau6[[#This Row],[Cumul 2022]]-Tableau6[[#This Row],[Cumul 2021]]</f>
        <v>#N/A</v>
      </c>
      <c r="L36" s="37" t="e">
        <f>Tableau6[[#This Row],[Ecart 2021 2022]]/Tableau6[[#This Row],[Cumul 2021]]</f>
        <v>#N/A</v>
      </c>
      <c r="M36" s="35" t="str">
        <f>IF(ISNA(Tableau6[[#This Row],[Position 2023]]),"",INDEX(tabSuiviConso[HP + HC
cumul],Tableau6[[#This Row],[Position 2023]],1))</f>
        <v/>
      </c>
      <c r="N36" s="56" t="e">
        <f>IF(ISNA(Tableau6[[#This Row],[Position 2023]]),Tableau6[[#This Row],[Position 2023]],Tableau6[[#This Row],[2023]]-M$2)</f>
        <v>#N/A</v>
      </c>
      <c r="O36" s="35" t="e">
        <f>Tableau6[[#This Row],[Cumul 2023]]-Tableau6[[#This Row],[Cumul 2022]]</f>
        <v>#N/A</v>
      </c>
      <c r="P36" s="37" t="e">
        <f>Tableau6[[#This Row],[Ecart 2022 2023]]/Tableau6[[#This Row],[Cumul 2022]]</f>
        <v>#N/A</v>
      </c>
      <c r="Q36" s="35" t="e">
        <f>MATCH(Tableau6[Jours Mois]&amp;"/"&amp;Tableau6[[#Headers],[2024]],tabSuiviConso[Jour Mois Année],0)</f>
        <v>#N/A</v>
      </c>
      <c r="R36" s="35" t="str">
        <f>IF(ISNA(Tableau6[[#This Row],[Position 2024]]),"",INDEX(tabSuiviConso[HP + HC
cumul],Tableau6[[#This Row],[Position 2024]],1))</f>
        <v/>
      </c>
      <c r="S36" s="56" t="e">
        <f>IF(ISNA(Tableau6[[#This Row],[Position 2024]]),Tableau6[[#This Row],[Position 2024]],Tableau6[[#This Row],[2024]]-R$2)</f>
        <v>#N/A</v>
      </c>
      <c r="T36" s="35" t="e">
        <f>Tableau6[[#This Row],[Cumul 2024]]-Tableau6[[#This Row],[Cumul 2023]]</f>
        <v>#N/A</v>
      </c>
      <c r="U36" s="36" t="e">
        <f>Tableau6[[#This Row],[Ecart 2023 2024]]/Tableau6[[#This Row],[Cumul 2023]]</f>
        <v>#N/A</v>
      </c>
    </row>
    <row r="37" spans="1:21" x14ac:dyDescent="0.2">
      <c r="A37" s="35">
        <v>2</v>
      </c>
      <c r="B37" s="35">
        <v>4</v>
      </c>
      <c r="C37" s="35" t="str">
        <f>Tableau6[Jour]&amp;"/"&amp;Tableau6[Mois]</f>
        <v>4/2</v>
      </c>
      <c r="D37" s="35" t="e">
        <f>MATCH(Tableau6[Jours Mois]&amp;"/"&amp;Tableau6[[#Headers],[2021]],tabSuiviConso[Jour Mois Année],0)</f>
        <v>#N/A</v>
      </c>
      <c r="E37" s="35" t="str">
        <f>IF(ISNA(Tableau6[[#This Row],[Position 2021]]),"",INDEX(tabSuiviConso[HP + HC
cumul],Tableau6[[#This Row],[Position 2021]],1))</f>
        <v/>
      </c>
      <c r="F37" s="56" t="e">
        <f>IF(ISNA(Tableau6[[#This Row],[Position 2021]]),Tableau6[[#This Row],[Position 2021]],Tableau6[[#This Row],[2021]]-E$2)</f>
        <v>#N/A</v>
      </c>
      <c r="G37" s="35" t="e">
        <f>MATCH(Tableau6[Jours Mois]&amp;"/"&amp;Tableau6[[#Headers],[2022]],tabSuiviConso[Jour Mois Année],0)</f>
        <v>#N/A</v>
      </c>
      <c r="H37" s="35" t="str">
        <f>IF(ISNA(Tableau6[[#This Row],[Position 2022]]),"",INDEX(tabSuiviConso[HP + HC
cumul],Tableau6[[#This Row],[Position 2022]],1))</f>
        <v/>
      </c>
      <c r="I37" s="56" t="e">
        <f>IF(ISNA(Tableau6[[#This Row],[Position 2022]]),Tableau6[[#This Row],[Position 2022]],Tableau6[[#This Row],[2022]]-H$2)</f>
        <v>#N/A</v>
      </c>
      <c r="J37" s="35" t="e">
        <f>MATCH(Tableau6[Jours Mois]&amp;"/"&amp;Tableau6[[#Headers],[2023]],tabSuiviConso[Jour Mois Année],0)</f>
        <v>#N/A</v>
      </c>
      <c r="K37" s="35" t="e">
        <f>Tableau6[[#This Row],[Cumul 2022]]-Tableau6[[#This Row],[Cumul 2021]]</f>
        <v>#N/A</v>
      </c>
      <c r="L37" s="37" t="e">
        <f>Tableau6[[#This Row],[Ecart 2021 2022]]/Tableau6[[#This Row],[Cumul 2021]]</f>
        <v>#N/A</v>
      </c>
      <c r="M37" s="35" t="str">
        <f>IF(ISNA(Tableau6[[#This Row],[Position 2023]]),"",INDEX(tabSuiviConso[HP + HC
cumul],Tableau6[[#This Row],[Position 2023]],1))</f>
        <v/>
      </c>
      <c r="N37" s="56" t="e">
        <f>IF(ISNA(Tableau6[[#This Row],[Position 2023]]),Tableau6[[#This Row],[Position 2023]],Tableau6[[#This Row],[2023]]-M$2)</f>
        <v>#N/A</v>
      </c>
      <c r="O37" s="35" t="e">
        <f>Tableau6[[#This Row],[Cumul 2023]]-Tableau6[[#This Row],[Cumul 2022]]</f>
        <v>#N/A</v>
      </c>
      <c r="P37" s="37" t="e">
        <f>Tableau6[[#This Row],[Ecart 2022 2023]]/Tableau6[[#This Row],[Cumul 2022]]</f>
        <v>#N/A</v>
      </c>
      <c r="Q37" s="35" t="e">
        <f>MATCH(Tableau6[Jours Mois]&amp;"/"&amp;Tableau6[[#Headers],[2024]],tabSuiviConso[Jour Mois Année],0)</f>
        <v>#N/A</v>
      </c>
      <c r="R37" s="35" t="str">
        <f>IF(ISNA(Tableau6[[#This Row],[Position 2024]]),"",INDEX(tabSuiviConso[HP + HC
cumul],Tableau6[[#This Row],[Position 2024]],1))</f>
        <v/>
      </c>
      <c r="S37" s="56" t="e">
        <f>IF(ISNA(Tableau6[[#This Row],[Position 2024]]),Tableau6[[#This Row],[Position 2024]],Tableau6[[#This Row],[2024]]-R$2)</f>
        <v>#N/A</v>
      </c>
      <c r="T37" s="35" t="e">
        <f>Tableau6[[#This Row],[Cumul 2024]]-Tableau6[[#This Row],[Cumul 2023]]</f>
        <v>#N/A</v>
      </c>
      <c r="U37" s="36" t="e">
        <f>Tableau6[[#This Row],[Ecart 2023 2024]]/Tableau6[[#This Row],[Cumul 2023]]</f>
        <v>#N/A</v>
      </c>
    </row>
    <row r="38" spans="1:21" x14ac:dyDescent="0.2">
      <c r="A38" s="35">
        <v>2</v>
      </c>
      <c r="B38" s="35">
        <v>5</v>
      </c>
      <c r="C38" s="35" t="str">
        <f>Tableau6[Jour]&amp;"/"&amp;Tableau6[Mois]</f>
        <v>5/2</v>
      </c>
      <c r="D38" s="35" t="e">
        <f>MATCH(Tableau6[Jours Mois]&amp;"/"&amp;Tableau6[[#Headers],[2021]],tabSuiviConso[Jour Mois Année],0)</f>
        <v>#N/A</v>
      </c>
      <c r="E38" s="35" t="str">
        <f>IF(ISNA(Tableau6[[#This Row],[Position 2021]]),"",INDEX(tabSuiviConso[HP + HC
cumul],Tableau6[[#This Row],[Position 2021]],1))</f>
        <v/>
      </c>
      <c r="F38" s="56" t="e">
        <f>IF(ISNA(Tableau6[[#This Row],[Position 2021]]),Tableau6[[#This Row],[Position 2021]],Tableau6[[#This Row],[2021]]-E$2)</f>
        <v>#N/A</v>
      </c>
      <c r="G38" s="35" t="e">
        <f>MATCH(Tableau6[Jours Mois]&amp;"/"&amp;Tableau6[[#Headers],[2022]],tabSuiviConso[Jour Mois Année],0)</f>
        <v>#N/A</v>
      </c>
      <c r="H38" s="35" t="str">
        <f>IF(ISNA(Tableau6[[#This Row],[Position 2022]]),"",INDEX(tabSuiviConso[HP + HC
cumul],Tableau6[[#This Row],[Position 2022]],1))</f>
        <v/>
      </c>
      <c r="I38" s="56" t="e">
        <f>IF(ISNA(Tableau6[[#This Row],[Position 2022]]),Tableau6[[#This Row],[Position 2022]],Tableau6[[#This Row],[2022]]-H$2)</f>
        <v>#N/A</v>
      </c>
      <c r="J38" s="35" t="e">
        <f>MATCH(Tableau6[Jours Mois]&amp;"/"&amp;Tableau6[[#Headers],[2023]],tabSuiviConso[Jour Mois Année],0)</f>
        <v>#N/A</v>
      </c>
      <c r="K38" s="35" t="e">
        <f>Tableau6[[#This Row],[Cumul 2022]]-Tableau6[[#This Row],[Cumul 2021]]</f>
        <v>#N/A</v>
      </c>
      <c r="L38" s="37" t="e">
        <f>Tableau6[[#This Row],[Ecart 2021 2022]]/Tableau6[[#This Row],[Cumul 2021]]</f>
        <v>#N/A</v>
      </c>
      <c r="M38" s="35" t="str">
        <f>IF(ISNA(Tableau6[[#This Row],[Position 2023]]),"",INDEX(tabSuiviConso[HP + HC
cumul],Tableau6[[#This Row],[Position 2023]],1))</f>
        <v/>
      </c>
      <c r="N38" s="56" t="e">
        <f>IF(ISNA(Tableau6[[#This Row],[Position 2023]]),Tableau6[[#This Row],[Position 2023]],Tableau6[[#This Row],[2023]]-M$2)</f>
        <v>#N/A</v>
      </c>
      <c r="O38" s="35" t="e">
        <f>Tableau6[[#This Row],[Cumul 2023]]-Tableau6[[#This Row],[Cumul 2022]]</f>
        <v>#N/A</v>
      </c>
      <c r="P38" s="37" t="e">
        <f>Tableau6[[#This Row],[Ecart 2022 2023]]/Tableau6[[#This Row],[Cumul 2022]]</f>
        <v>#N/A</v>
      </c>
      <c r="Q38" s="35" t="e">
        <f>MATCH(Tableau6[Jours Mois]&amp;"/"&amp;Tableau6[[#Headers],[2024]],tabSuiviConso[Jour Mois Année],0)</f>
        <v>#N/A</v>
      </c>
      <c r="R38" s="35" t="str">
        <f>IF(ISNA(Tableau6[[#This Row],[Position 2024]]),"",INDEX(tabSuiviConso[HP + HC
cumul],Tableau6[[#This Row],[Position 2024]],1))</f>
        <v/>
      </c>
      <c r="S38" s="56" t="e">
        <f>IF(ISNA(Tableau6[[#This Row],[Position 2024]]),Tableau6[[#This Row],[Position 2024]],Tableau6[[#This Row],[2024]]-R$2)</f>
        <v>#N/A</v>
      </c>
      <c r="T38" s="35" t="e">
        <f>Tableau6[[#This Row],[Cumul 2024]]-Tableau6[[#This Row],[Cumul 2023]]</f>
        <v>#N/A</v>
      </c>
      <c r="U38" s="36" t="e">
        <f>Tableau6[[#This Row],[Ecart 2023 2024]]/Tableau6[[#This Row],[Cumul 2023]]</f>
        <v>#N/A</v>
      </c>
    </row>
    <row r="39" spans="1:21" x14ac:dyDescent="0.2">
      <c r="A39" s="35">
        <v>2</v>
      </c>
      <c r="B39" s="35">
        <v>6</v>
      </c>
      <c r="C39" s="35" t="str">
        <f>Tableau6[Jour]&amp;"/"&amp;Tableau6[Mois]</f>
        <v>6/2</v>
      </c>
      <c r="D39" s="35" t="e">
        <f>MATCH(Tableau6[Jours Mois]&amp;"/"&amp;Tableau6[[#Headers],[2021]],tabSuiviConso[Jour Mois Année],0)</f>
        <v>#N/A</v>
      </c>
      <c r="E39" s="35" t="str">
        <f>IF(ISNA(Tableau6[[#This Row],[Position 2021]]),"",INDEX(tabSuiviConso[HP + HC
cumul],Tableau6[[#This Row],[Position 2021]],1))</f>
        <v/>
      </c>
      <c r="F39" s="56" t="e">
        <f>IF(ISNA(Tableau6[[#This Row],[Position 2021]]),Tableau6[[#This Row],[Position 2021]],Tableau6[[#This Row],[2021]]-E$2)</f>
        <v>#N/A</v>
      </c>
      <c r="G39" s="35" t="e">
        <f>MATCH(Tableau6[Jours Mois]&amp;"/"&amp;Tableau6[[#Headers],[2022]],tabSuiviConso[Jour Mois Année],0)</f>
        <v>#N/A</v>
      </c>
      <c r="H39" s="35" t="str">
        <f>IF(ISNA(Tableau6[[#This Row],[Position 2022]]),"",INDEX(tabSuiviConso[HP + HC
cumul],Tableau6[[#This Row],[Position 2022]],1))</f>
        <v/>
      </c>
      <c r="I39" s="56" t="e">
        <f>IF(ISNA(Tableau6[[#This Row],[Position 2022]]),Tableau6[[#This Row],[Position 2022]],Tableau6[[#This Row],[2022]]-H$2)</f>
        <v>#N/A</v>
      </c>
      <c r="J39" s="35" t="e">
        <f>MATCH(Tableau6[Jours Mois]&amp;"/"&amp;Tableau6[[#Headers],[2023]],tabSuiviConso[Jour Mois Année],0)</f>
        <v>#N/A</v>
      </c>
      <c r="K39" s="35" t="e">
        <f>Tableau6[[#This Row],[Cumul 2022]]-Tableau6[[#This Row],[Cumul 2021]]</f>
        <v>#N/A</v>
      </c>
      <c r="L39" s="37" t="e">
        <f>Tableau6[[#This Row],[Ecart 2021 2022]]/Tableau6[[#This Row],[Cumul 2021]]</f>
        <v>#N/A</v>
      </c>
      <c r="M39" s="35" t="str">
        <f>IF(ISNA(Tableau6[[#This Row],[Position 2023]]),"",INDEX(tabSuiviConso[HP + HC
cumul],Tableau6[[#This Row],[Position 2023]],1))</f>
        <v/>
      </c>
      <c r="N39" s="56" t="e">
        <f>IF(ISNA(Tableau6[[#This Row],[Position 2023]]),Tableau6[[#This Row],[Position 2023]],Tableau6[[#This Row],[2023]]-M$2)</f>
        <v>#N/A</v>
      </c>
      <c r="O39" s="35" t="e">
        <f>Tableau6[[#This Row],[Cumul 2023]]-Tableau6[[#This Row],[Cumul 2022]]</f>
        <v>#N/A</v>
      </c>
      <c r="P39" s="37" t="e">
        <f>Tableau6[[#This Row],[Ecart 2022 2023]]/Tableau6[[#This Row],[Cumul 2022]]</f>
        <v>#N/A</v>
      </c>
      <c r="Q39" s="35" t="e">
        <f>MATCH(Tableau6[Jours Mois]&amp;"/"&amp;Tableau6[[#Headers],[2024]],tabSuiviConso[Jour Mois Année],0)</f>
        <v>#N/A</v>
      </c>
      <c r="R39" s="35" t="str">
        <f>IF(ISNA(Tableau6[[#This Row],[Position 2024]]),"",INDEX(tabSuiviConso[HP + HC
cumul],Tableau6[[#This Row],[Position 2024]],1))</f>
        <v/>
      </c>
      <c r="S39" s="56" t="e">
        <f>IF(ISNA(Tableau6[[#This Row],[Position 2024]]),Tableau6[[#This Row],[Position 2024]],Tableau6[[#This Row],[2024]]-R$2)</f>
        <v>#N/A</v>
      </c>
      <c r="T39" s="35" t="e">
        <f>Tableau6[[#This Row],[Cumul 2024]]-Tableau6[[#This Row],[Cumul 2023]]</f>
        <v>#N/A</v>
      </c>
      <c r="U39" s="36" t="e">
        <f>Tableau6[[#This Row],[Ecart 2023 2024]]/Tableau6[[#This Row],[Cumul 2023]]</f>
        <v>#N/A</v>
      </c>
    </row>
    <row r="40" spans="1:21" x14ac:dyDescent="0.2">
      <c r="A40" s="35">
        <v>2</v>
      </c>
      <c r="B40" s="35">
        <v>7</v>
      </c>
      <c r="C40" s="35" t="str">
        <f>Tableau6[Jour]&amp;"/"&amp;Tableau6[Mois]</f>
        <v>7/2</v>
      </c>
      <c r="D40" s="35" t="e">
        <f>MATCH(Tableau6[Jours Mois]&amp;"/"&amp;Tableau6[[#Headers],[2021]],tabSuiviConso[Jour Mois Année],0)</f>
        <v>#N/A</v>
      </c>
      <c r="E40" s="35" t="str">
        <f>IF(ISNA(Tableau6[[#This Row],[Position 2021]]),"",INDEX(tabSuiviConso[HP + HC
cumul],Tableau6[[#This Row],[Position 2021]],1))</f>
        <v/>
      </c>
      <c r="F40" s="56" t="e">
        <f>IF(ISNA(Tableau6[[#This Row],[Position 2021]]),Tableau6[[#This Row],[Position 2021]],Tableau6[[#This Row],[2021]]-E$2)</f>
        <v>#N/A</v>
      </c>
      <c r="G40" s="35" t="e">
        <f>MATCH(Tableau6[Jours Mois]&amp;"/"&amp;Tableau6[[#Headers],[2022]],tabSuiviConso[Jour Mois Année],0)</f>
        <v>#N/A</v>
      </c>
      <c r="H40" s="35" t="str">
        <f>IF(ISNA(Tableau6[[#This Row],[Position 2022]]),"",INDEX(tabSuiviConso[HP + HC
cumul],Tableau6[[#This Row],[Position 2022]],1))</f>
        <v/>
      </c>
      <c r="I40" s="56" t="e">
        <f>IF(ISNA(Tableau6[[#This Row],[Position 2022]]),Tableau6[[#This Row],[Position 2022]],Tableau6[[#This Row],[2022]]-H$2)</f>
        <v>#N/A</v>
      </c>
      <c r="J40" s="35" t="e">
        <f>MATCH(Tableau6[Jours Mois]&amp;"/"&amp;Tableau6[[#Headers],[2023]],tabSuiviConso[Jour Mois Année],0)</f>
        <v>#N/A</v>
      </c>
      <c r="K40" s="35" t="e">
        <f>Tableau6[[#This Row],[Cumul 2022]]-Tableau6[[#This Row],[Cumul 2021]]</f>
        <v>#N/A</v>
      </c>
      <c r="L40" s="37" t="e">
        <f>Tableau6[[#This Row],[Ecart 2021 2022]]/Tableau6[[#This Row],[Cumul 2021]]</f>
        <v>#N/A</v>
      </c>
      <c r="M40" s="35" t="str">
        <f>IF(ISNA(Tableau6[[#This Row],[Position 2023]]),"",INDEX(tabSuiviConso[HP + HC
cumul],Tableau6[[#This Row],[Position 2023]],1))</f>
        <v/>
      </c>
      <c r="N40" s="56" t="e">
        <f>IF(ISNA(Tableau6[[#This Row],[Position 2023]]),Tableau6[[#This Row],[Position 2023]],Tableau6[[#This Row],[2023]]-M$2)</f>
        <v>#N/A</v>
      </c>
      <c r="O40" s="35" t="e">
        <f>Tableau6[[#This Row],[Cumul 2023]]-Tableau6[[#This Row],[Cumul 2022]]</f>
        <v>#N/A</v>
      </c>
      <c r="P40" s="37" t="e">
        <f>Tableau6[[#This Row],[Ecart 2022 2023]]/Tableau6[[#This Row],[Cumul 2022]]</f>
        <v>#N/A</v>
      </c>
      <c r="Q40" s="35" t="e">
        <f>MATCH(Tableau6[Jours Mois]&amp;"/"&amp;Tableau6[[#Headers],[2024]],tabSuiviConso[Jour Mois Année],0)</f>
        <v>#N/A</v>
      </c>
      <c r="R40" s="35" t="str">
        <f>IF(ISNA(Tableau6[[#This Row],[Position 2024]]),"",INDEX(tabSuiviConso[HP + HC
cumul],Tableau6[[#This Row],[Position 2024]],1))</f>
        <v/>
      </c>
      <c r="S40" s="56" t="e">
        <f>IF(ISNA(Tableau6[[#This Row],[Position 2024]]),Tableau6[[#This Row],[Position 2024]],Tableau6[[#This Row],[2024]]-R$2)</f>
        <v>#N/A</v>
      </c>
      <c r="T40" s="35" t="e">
        <f>Tableau6[[#This Row],[Cumul 2024]]-Tableau6[[#This Row],[Cumul 2023]]</f>
        <v>#N/A</v>
      </c>
      <c r="U40" s="36" t="e">
        <f>Tableau6[[#This Row],[Ecart 2023 2024]]/Tableau6[[#This Row],[Cumul 2023]]</f>
        <v>#N/A</v>
      </c>
    </row>
    <row r="41" spans="1:21" x14ac:dyDescent="0.2">
      <c r="A41" s="35">
        <v>2</v>
      </c>
      <c r="B41" s="35">
        <v>8</v>
      </c>
      <c r="C41" s="35" t="str">
        <f>Tableau6[Jour]&amp;"/"&amp;Tableau6[Mois]</f>
        <v>8/2</v>
      </c>
      <c r="D41" s="35" t="e">
        <f>MATCH(Tableau6[Jours Mois]&amp;"/"&amp;Tableau6[[#Headers],[2021]],tabSuiviConso[Jour Mois Année],0)</f>
        <v>#N/A</v>
      </c>
      <c r="E41" s="35" t="str">
        <f>IF(ISNA(Tableau6[[#This Row],[Position 2021]]),"",INDEX(tabSuiviConso[HP + HC
cumul],Tableau6[[#This Row],[Position 2021]],1))</f>
        <v/>
      </c>
      <c r="F41" s="56" t="e">
        <f>IF(ISNA(Tableau6[[#This Row],[Position 2021]]),Tableau6[[#This Row],[Position 2021]],Tableau6[[#This Row],[2021]]-E$2)</f>
        <v>#N/A</v>
      </c>
      <c r="G41" s="35" t="e">
        <f>MATCH(Tableau6[Jours Mois]&amp;"/"&amp;Tableau6[[#Headers],[2022]],tabSuiviConso[Jour Mois Année],0)</f>
        <v>#N/A</v>
      </c>
      <c r="H41" s="35" t="str">
        <f>IF(ISNA(Tableau6[[#This Row],[Position 2022]]),"",INDEX(tabSuiviConso[HP + HC
cumul],Tableau6[[#This Row],[Position 2022]],1))</f>
        <v/>
      </c>
      <c r="I41" s="56" t="e">
        <f>IF(ISNA(Tableau6[[#This Row],[Position 2022]]),Tableau6[[#This Row],[Position 2022]],Tableau6[[#This Row],[2022]]-H$2)</f>
        <v>#N/A</v>
      </c>
      <c r="J41" s="35" t="e">
        <f>MATCH(Tableau6[Jours Mois]&amp;"/"&amp;Tableau6[[#Headers],[2023]],tabSuiviConso[Jour Mois Année],0)</f>
        <v>#N/A</v>
      </c>
      <c r="K41" s="35" t="e">
        <f>Tableau6[[#This Row],[Cumul 2022]]-Tableau6[[#This Row],[Cumul 2021]]</f>
        <v>#N/A</v>
      </c>
      <c r="L41" s="37" t="e">
        <f>Tableau6[[#This Row],[Ecart 2021 2022]]/Tableau6[[#This Row],[Cumul 2021]]</f>
        <v>#N/A</v>
      </c>
      <c r="M41" s="35" t="str">
        <f>IF(ISNA(Tableau6[[#This Row],[Position 2023]]),"",INDEX(tabSuiviConso[HP + HC
cumul],Tableau6[[#This Row],[Position 2023]],1))</f>
        <v/>
      </c>
      <c r="N41" s="56" t="e">
        <f>IF(ISNA(Tableau6[[#This Row],[Position 2023]]),Tableau6[[#This Row],[Position 2023]],Tableau6[[#This Row],[2023]]-M$2)</f>
        <v>#N/A</v>
      </c>
      <c r="O41" s="35" t="e">
        <f>Tableau6[[#This Row],[Cumul 2023]]-Tableau6[[#This Row],[Cumul 2022]]</f>
        <v>#N/A</v>
      </c>
      <c r="P41" s="37" t="e">
        <f>Tableau6[[#This Row],[Ecart 2022 2023]]/Tableau6[[#This Row],[Cumul 2022]]</f>
        <v>#N/A</v>
      </c>
      <c r="Q41" s="35" t="e">
        <f>MATCH(Tableau6[Jours Mois]&amp;"/"&amp;Tableau6[[#Headers],[2024]],tabSuiviConso[Jour Mois Année],0)</f>
        <v>#N/A</v>
      </c>
      <c r="R41" s="35" t="str">
        <f>IF(ISNA(Tableau6[[#This Row],[Position 2024]]),"",INDEX(tabSuiviConso[HP + HC
cumul],Tableau6[[#This Row],[Position 2024]],1))</f>
        <v/>
      </c>
      <c r="S41" s="56" t="e">
        <f>IF(ISNA(Tableau6[[#This Row],[Position 2024]]),Tableau6[[#This Row],[Position 2024]],Tableau6[[#This Row],[2024]]-R$2)</f>
        <v>#N/A</v>
      </c>
      <c r="T41" s="35" t="e">
        <f>Tableau6[[#This Row],[Cumul 2024]]-Tableau6[[#This Row],[Cumul 2023]]</f>
        <v>#N/A</v>
      </c>
      <c r="U41" s="36" t="e">
        <f>Tableau6[[#This Row],[Ecart 2023 2024]]/Tableau6[[#This Row],[Cumul 2023]]</f>
        <v>#N/A</v>
      </c>
    </row>
    <row r="42" spans="1:21" x14ac:dyDescent="0.2">
      <c r="A42" s="35">
        <v>2</v>
      </c>
      <c r="B42" s="35">
        <v>9</v>
      </c>
      <c r="C42" s="35" t="str">
        <f>Tableau6[Jour]&amp;"/"&amp;Tableau6[Mois]</f>
        <v>9/2</v>
      </c>
      <c r="D42" s="35" t="e">
        <f>MATCH(Tableau6[Jours Mois]&amp;"/"&amp;Tableau6[[#Headers],[2021]],tabSuiviConso[Jour Mois Année],0)</f>
        <v>#N/A</v>
      </c>
      <c r="E42" s="35" t="str">
        <f>IF(ISNA(Tableau6[[#This Row],[Position 2021]]),"",INDEX(tabSuiviConso[HP + HC
cumul],Tableau6[[#This Row],[Position 2021]],1))</f>
        <v/>
      </c>
      <c r="F42" s="56" t="e">
        <f>IF(ISNA(Tableau6[[#This Row],[Position 2021]]),Tableau6[[#This Row],[Position 2021]],Tableau6[[#This Row],[2021]]-E$2)</f>
        <v>#N/A</v>
      </c>
      <c r="G42" s="35" t="e">
        <f>MATCH(Tableau6[Jours Mois]&amp;"/"&amp;Tableau6[[#Headers],[2022]],tabSuiviConso[Jour Mois Année],0)</f>
        <v>#N/A</v>
      </c>
      <c r="H42" s="35" t="str">
        <f>IF(ISNA(Tableau6[[#This Row],[Position 2022]]),"",INDEX(tabSuiviConso[HP + HC
cumul],Tableau6[[#This Row],[Position 2022]],1))</f>
        <v/>
      </c>
      <c r="I42" s="56" t="e">
        <f>IF(ISNA(Tableau6[[#This Row],[Position 2022]]),Tableau6[[#This Row],[Position 2022]],Tableau6[[#This Row],[2022]]-H$2)</f>
        <v>#N/A</v>
      </c>
      <c r="J42" s="35" t="e">
        <f>MATCH(Tableau6[Jours Mois]&amp;"/"&amp;Tableau6[[#Headers],[2023]],tabSuiviConso[Jour Mois Année],0)</f>
        <v>#N/A</v>
      </c>
      <c r="K42" s="35" t="e">
        <f>Tableau6[[#This Row],[Cumul 2022]]-Tableau6[[#This Row],[Cumul 2021]]</f>
        <v>#N/A</v>
      </c>
      <c r="L42" s="37" t="e">
        <f>Tableau6[[#This Row],[Ecart 2021 2022]]/Tableau6[[#This Row],[Cumul 2021]]</f>
        <v>#N/A</v>
      </c>
      <c r="M42" s="35" t="str">
        <f>IF(ISNA(Tableau6[[#This Row],[Position 2023]]),"",INDEX(tabSuiviConso[HP + HC
cumul],Tableau6[[#This Row],[Position 2023]],1))</f>
        <v/>
      </c>
      <c r="N42" s="56" t="e">
        <f>IF(ISNA(Tableau6[[#This Row],[Position 2023]]),Tableau6[[#This Row],[Position 2023]],Tableau6[[#This Row],[2023]]-M$2)</f>
        <v>#N/A</v>
      </c>
      <c r="O42" s="35" t="e">
        <f>Tableau6[[#This Row],[Cumul 2023]]-Tableau6[[#This Row],[Cumul 2022]]</f>
        <v>#N/A</v>
      </c>
      <c r="P42" s="37" t="e">
        <f>Tableau6[[#This Row],[Ecart 2022 2023]]/Tableau6[[#This Row],[Cumul 2022]]</f>
        <v>#N/A</v>
      </c>
      <c r="Q42" s="35" t="e">
        <f>MATCH(Tableau6[Jours Mois]&amp;"/"&amp;Tableau6[[#Headers],[2024]],tabSuiviConso[Jour Mois Année],0)</f>
        <v>#N/A</v>
      </c>
      <c r="R42" s="35" t="str">
        <f>IF(ISNA(Tableau6[[#This Row],[Position 2024]]),"",INDEX(tabSuiviConso[HP + HC
cumul],Tableau6[[#This Row],[Position 2024]],1))</f>
        <v/>
      </c>
      <c r="S42" s="56" t="e">
        <f>IF(ISNA(Tableau6[[#This Row],[Position 2024]]),Tableau6[[#This Row],[Position 2024]],Tableau6[[#This Row],[2024]]-R$2)</f>
        <v>#N/A</v>
      </c>
      <c r="T42" s="35" t="e">
        <f>Tableau6[[#This Row],[Cumul 2024]]-Tableau6[[#This Row],[Cumul 2023]]</f>
        <v>#N/A</v>
      </c>
      <c r="U42" s="36" t="e">
        <f>Tableau6[[#This Row],[Ecart 2023 2024]]/Tableau6[[#This Row],[Cumul 2023]]</f>
        <v>#N/A</v>
      </c>
    </row>
    <row r="43" spans="1:21" x14ac:dyDescent="0.2">
      <c r="A43" s="35">
        <v>2</v>
      </c>
      <c r="B43" s="35">
        <v>10</v>
      </c>
      <c r="C43" s="35" t="str">
        <f>Tableau6[Jour]&amp;"/"&amp;Tableau6[Mois]</f>
        <v>10/2</v>
      </c>
      <c r="D43" s="35" t="e">
        <f>MATCH(Tableau6[Jours Mois]&amp;"/"&amp;Tableau6[[#Headers],[2021]],tabSuiviConso[Jour Mois Année],0)</f>
        <v>#N/A</v>
      </c>
      <c r="E43" s="35" t="str">
        <f>IF(ISNA(Tableau6[[#This Row],[Position 2021]]),"",INDEX(tabSuiviConso[HP + HC
cumul],Tableau6[[#This Row],[Position 2021]],1))</f>
        <v/>
      </c>
      <c r="F43" s="56" t="e">
        <f>IF(ISNA(Tableau6[[#This Row],[Position 2021]]),Tableau6[[#This Row],[Position 2021]],Tableau6[[#This Row],[2021]]-E$2)</f>
        <v>#N/A</v>
      </c>
      <c r="G43" s="35" t="e">
        <f>MATCH(Tableau6[Jours Mois]&amp;"/"&amp;Tableau6[[#Headers],[2022]],tabSuiviConso[Jour Mois Année],0)</f>
        <v>#N/A</v>
      </c>
      <c r="H43" s="35" t="str">
        <f>IF(ISNA(Tableau6[[#This Row],[Position 2022]]),"",INDEX(tabSuiviConso[HP + HC
cumul],Tableau6[[#This Row],[Position 2022]],1))</f>
        <v/>
      </c>
      <c r="I43" s="56" t="e">
        <f>IF(ISNA(Tableau6[[#This Row],[Position 2022]]),Tableau6[[#This Row],[Position 2022]],Tableau6[[#This Row],[2022]]-H$2)</f>
        <v>#N/A</v>
      </c>
      <c r="J43" s="35" t="e">
        <f>MATCH(Tableau6[Jours Mois]&amp;"/"&amp;Tableau6[[#Headers],[2023]],tabSuiviConso[Jour Mois Année],0)</f>
        <v>#N/A</v>
      </c>
      <c r="K43" s="35" t="e">
        <f>Tableau6[[#This Row],[Cumul 2022]]-Tableau6[[#This Row],[Cumul 2021]]</f>
        <v>#N/A</v>
      </c>
      <c r="L43" s="37" t="e">
        <f>Tableau6[[#This Row],[Ecart 2021 2022]]/Tableau6[[#This Row],[Cumul 2021]]</f>
        <v>#N/A</v>
      </c>
      <c r="M43" s="35" t="str">
        <f>IF(ISNA(Tableau6[[#This Row],[Position 2023]]),"",INDEX(tabSuiviConso[HP + HC
cumul],Tableau6[[#This Row],[Position 2023]],1))</f>
        <v/>
      </c>
      <c r="N43" s="56" t="e">
        <f>IF(ISNA(Tableau6[[#This Row],[Position 2023]]),Tableau6[[#This Row],[Position 2023]],Tableau6[[#This Row],[2023]]-M$2)</f>
        <v>#N/A</v>
      </c>
      <c r="O43" s="35" t="e">
        <f>Tableau6[[#This Row],[Cumul 2023]]-Tableau6[[#This Row],[Cumul 2022]]</f>
        <v>#N/A</v>
      </c>
      <c r="P43" s="37" t="e">
        <f>Tableau6[[#This Row],[Ecart 2022 2023]]/Tableau6[[#This Row],[Cumul 2022]]</f>
        <v>#N/A</v>
      </c>
      <c r="Q43" s="35" t="e">
        <f>MATCH(Tableau6[Jours Mois]&amp;"/"&amp;Tableau6[[#Headers],[2024]],tabSuiviConso[Jour Mois Année],0)</f>
        <v>#N/A</v>
      </c>
      <c r="R43" s="35" t="str">
        <f>IF(ISNA(Tableau6[[#This Row],[Position 2024]]),"",INDEX(tabSuiviConso[HP + HC
cumul],Tableau6[[#This Row],[Position 2024]],1))</f>
        <v/>
      </c>
      <c r="S43" s="56" t="e">
        <f>IF(ISNA(Tableau6[[#This Row],[Position 2024]]),Tableau6[[#This Row],[Position 2024]],Tableau6[[#This Row],[2024]]-R$2)</f>
        <v>#N/A</v>
      </c>
      <c r="T43" s="35" t="e">
        <f>Tableau6[[#This Row],[Cumul 2024]]-Tableau6[[#This Row],[Cumul 2023]]</f>
        <v>#N/A</v>
      </c>
      <c r="U43" s="36" t="e">
        <f>Tableau6[[#This Row],[Ecart 2023 2024]]/Tableau6[[#This Row],[Cumul 2023]]</f>
        <v>#N/A</v>
      </c>
    </row>
    <row r="44" spans="1:21" x14ac:dyDescent="0.2">
      <c r="A44" s="35">
        <v>2</v>
      </c>
      <c r="B44" s="35">
        <v>11</v>
      </c>
      <c r="C44" s="35" t="str">
        <f>Tableau6[Jour]&amp;"/"&amp;Tableau6[Mois]</f>
        <v>11/2</v>
      </c>
      <c r="D44" s="35" t="e">
        <f>MATCH(Tableau6[Jours Mois]&amp;"/"&amp;Tableau6[[#Headers],[2021]],tabSuiviConso[Jour Mois Année],0)</f>
        <v>#N/A</v>
      </c>
      <c r="E44" s="35" t="str">
        <f>IF(ISNA(Tableau6[[#This Row],[Position 2021]]),"",INDEX(tabSuiviConso[HP + HC
cumul],Tableau6[[#This Row],[Position 2021]],1))</f>
        <v/>
      </c>
      <c r="F44" s="56" t="e">
        <f>IF(ISNA(Tableau6[[#This Row],[Position 2021]]),Tableau6[[#This Row],[Position 2021]],Tableau6[[#This Row],[2021]]-E$2)</f>
        <v>#N/A</v>
      </c>
      <c r="G44" s="35" t="e">
        <f>MATCH(Tableau6[Jours Mois]&amp;"/"&amp;Tableau6[[#Headers],[2022]],tabSuiviConso[Jour Mois Année],0)</f>
        <v>#N/A</v>
      </c>
      <c r="H44" s="35" t="str">
        <f>IF(ISNA(Tableau6[[#This Row],[Position 2022]]),"",INDEX(tabSuiviConso[HP + HC
cumul],Tableau6[[#This Row],[Position 2022]],1))</f>
        <v/>
      </c>
      <c r="I44" s="56" t="e">
        <f>IF(ISNA(Tableau6[[#This Row],[Position 2022]]),Tableau6[[#This Row],[Position 2022]],Tableau6[[#This Row],[2022]]-H$2)</f>
        <v>#N/A</v>
      </c>
      <c r="J44" s="35" t="e">
        <f>MATCH(Tableau6[Jours Mois]&amp;"/"&amp;Tableau6[[#Headers],[2023]],tabSuiviConso[Jour Mois Année],0)</f>
        <v>#N/A</v>
      </c>
      <c r="K44" s="35" t="e">
        <f>Tableau6[[#This Row],[Cumul 2022]]-Tableau6[[#This Row],[Cumul 2021]]</f>
        <v>#N/A</v>
      </c>
      <c r="L44" s="37" t="e">
        <f>Tableau6[[#This Row],[Ecart 2021 2022]]/Tableau6[[#This Row],[Cumul 2021]]</f>
        <v>#N/A</v>
      </c>
      <c r="M44" s="35" t="str">
        <f>IF(ISNA(Tableau6[[#This Row],[Position 2023]]),"",INDEX(tabSuiviConso[HP + HC
cumul],Tableau6[[#This Row],[Position 2023]],1))</f>
        <v/>
      </c>
      <c r="N44" s="56" t="e">
        <f>IF(ISNA(Tableau6[[#This Row],[Position 2023]]),Tableau6[[#This Row],[Position 2023]],Tableau6[[#This Row],[2023]]-M$2)</f>
        <v>#N/A</v>
      </c>
      <c r="O44" s="35" t="e">
        <f>Tableau6[[#This Row],[Cumul 2023]]-Tableau6[[#This Row],[Cumul 2022]]</f>
        <v>#N/A</v>
      </c>
      <c r="P44" s="37" t="e">
        <f>Tableau6[[#This Row],[Ecart 2022 2023]]/Tableau6[[#This Row],[Cumul 2022]]</f>
        <v>#N/A</v>
      </c>
      <c r="Q44" s="35" t="e">
        <f>MATCH(Tableau6[Jours Mois]&amp;"/"&amp;Tableau6[[#Headers],[2024]],tabSuiviConso[Jour Mois Année],0)</f>
        <v>#N/A</v>
      </c>
      <c r="R44" s="35" t="str">
        <f>IF(ISNA(Tableau6[[#This Row],[Position 2024]]),"",INDEX(tabSuiviConso[HP + HC
cumul],Tableau6[[#This Row],[Position 2024]],1))</f>
        <v/>
      </c>
      <c r="S44" s="56" t="e">
        <f>IF(ISNA(Tableau6[[#This Row],[Position 2024]]),Tableau6[[#This Row],[Position 2024]],Tableau6[[#This Row],[2024]]-R$2)</f>
        <v>#N/A</v>
      </c>
      <c r="T44" s="35" t="e">
        <f>Tableau6[[#This Row],[Cumul 2024]]-Tableau6[[#This Row],[Cumul 2023]]</f>
        <v>#N/A</v>
      </c>
      <c r="U44" s="36" t="e">
        <f>Tableau6[[#This Row],[Ecart 2023 2024]]/Tableau6[[#This Row],[Cumul 2023]]</f>
        <v>#N/A</v>
      </c>
    </row>
    <row r="45" spans="1:21" x14ac:dyDescent="0.2">
      <c r="A45" s="35">
        <v>2</v>
      </c>
      <c r="B45" s="35">
        <v>12</v>
      </c>
      <c r="C45" s="35" t="str">
        <f>Tableau6[Jour]&amp;"/"&amp;Tableau6[Mois]</f>
        <v>12/2</v>
      </c>
      <c r="D45" s="35" t="e">
        <f>MATCH(Tableau6[Jours Mois]&amp;"/"&amp;Tableau6[[#Headers],[2021]],tabSuiviConso[Jour Mois Année],0)</f>
        <v>#N/A</v>
      </c>
      <c r="E45" s="35" t="str">
        <f>IF(ISNA(Tableau6[[#This Row],[Position 2021]]),"",INDEX(tabSuiviConso[HP + HC
cumul],Tableau6[[#This Row],[Position 2021]],1))</f>
        <v/>
      </c>
      <c r="F45" s="56" t="e">
        <f>IF(ISNA(Tableau6[[#This Row],[Position 2021]]),Tableau6[[#This Row],[Position 2021]],Tableau6[[#This Row],[2021]]-E$2)</f>
        <v>#N/A</v>
      </c>
      <c r="G45" s="35" t="e">
        <f>MATCH(Tableau6[Jours Mois]&amp;"/"&amp;Tableau6[[#Headers],[2022]],tabSuiviConso[Jour Mois Année],0)</f>
        <v>#N/A</v>
      </c>
      <c r="H45" s="35" t="str">
        <f>IF(ISNA(Tableau6[[#This Row],[Position 2022]]),"",INDEX(tabSuiviConso[HP + HC
cumul],Tableau6[[#This Row],[Position 2022]],1))</f>
        <v/>
      </c>
      <c r="I45" s="56" t="e">
        <f>IF(ISNA(Tableau6[[#This Row],[Position 2022]]),Tableau6[[#This Row],[Position 2022]],Tableau6[[#This Row],[2022]]-H$2)</f>
        <v>#N/A</v>
      </c>
      <c r="J45" s="35" t="e">
        <f>MATCH(Tableau6[Jours Mois]&amp;"/"&amp;Tableau6[[#Headers],[2023]],tabSuiviConso[Jour Mois Année],0)</f>
        <v>#N/A</v>
      </c>
      <c r="K45" s="35" t="e">
        <f>Tableau6[[#This Row],[Cumul 2022]]-Tableau6[[#This Row],[Cumul 2021]]</f>
        <v>#N/A</v>
      </c>
      <c r="L45" s="37" t="e">
        <f>Tableau6[[#This Row],[Ecart 2021 2022]]/Tableau6[[#This Row],[Cumul 2021]]</f>
        <v>#N/A</v>
      </c>
      <c r="M45" s="35" t="str">
        <f>IF(ISNA(Tableau6[[#This Row],[Position 2023]]),"",INDEX(tabSuiviConso[HP + HC
cumul],Tableau6[[#This Row],[Position 2023]],1))</f>
        <v/>
      </c>
      <c r="N45" s="56" t="e">
        <f>IF(ISNA(Tableau6[[#This Row],[Position 2023]]),Tableau6[[#This Row],[Position 2023]],Tableau6[[#This Row],[2023]]-M$2)</f>
        <v>#N/A</v>
      </c>
      <c r="O45" s="35" t="e">
        <f>Tableau6[[#This Row],[Cumul 2023]]-Tableau6[[#This Row],[Cumul 2022]]</f>
        <v>#N/A</v>
      </c>
      <c r="P45" s="37" t="e">
        <f>Tableau6[[#This Row],[Ecart 2022 2023]]/Tableau6[[#This Row],[Cumul 2022]]</f>
        <v>#N/A</v>
      </c>
      <c r="Q45" s="35" t="e">
        <f>MATCH(Tableau6[Jours Mois]&amp;"/"&amp;Tableau6[[#Headers],[2024]],tabSuiviConso[Jour Mois Année],0)</f>
        <v>#N/A</v>
      </c>
      <c r="R45" s="35" t="str">
        <f>IF(ISNA(Tableau6[[#This Row],[Position 2024]]),"",INDEX(tabSuiviConso[HP + HC
cumul],Tableau6[[#This Row],[Position 2024]],1))</f>
        <v/>
      </c>
      <c r="S45" s="56" t="e">
        <f>IF(ISNA(Tableau6[[#This Row],[Position 2024]]),Tableau6[[#This Row],[Position 2024]],Tableau6[[#This Row],[2024]]-R$2)</f>
        <v>#N/A</v>
      </c>
      <c r="T45" s="35" t="e">
        <f>Tableau6[[#This Row],[Cumul 2024]]-Tableau6[[#This Row],[Cumul 2023]]</f>
        <v>#N/A</v>
      </c>
      <c r="U45" s="36" t="e">
        <f>Tableau6[[#This Row],[Ecart 2023 2024]]/Tableau6[[#This Row],[Cumul 2023]]</f>
        <v>#N/A</v>
      </c>
    </row>
    <row r="46" spans="1:21" x14ac:dyDescent="0.2">
      <c r="A46" s="35">
        <v>2</v>
      </c>
      <c r="B46" s="35">
        <v>13</v>
      </c>
      <c r="C46" s="35" t="str">
        <f>Tableau6[Jour]&amp;"/"&amp;Tableau6[Mois]</f>
        <v>13/2</v>
      </c>
      <c r="D46" s="35" t="e">
        <f>MATCH(Tableau6[Jours Mois]&amp;"/"&amp;Tableau6[[#Headers],[2021]],tabSuiviConso[Jour Mois Année],0)</f>
        <v>#N/A</v>
      </c>
      <c r="E46" s="35" t="str">
        <f>IF(ISNA(Tableau6[[#This Row],[Position 2021]]),"",INDEX(tabSuiviConso[HP + HC
cumul],Tableau6[[#This Row],[Position 2021]],1))</f>
        <v/>
      </c>
      <c r="F46" s="56" t="e">
        <f>IF(ISNA(Tableau6[[#This Row],[Position 2021]]),Tableau6[[#This Row],[Position 2021]],Tableau6[[#This Row],[2021]]-E$2)</f>
        <v>#N/A</v>
      </c>
      <c r="G46" s="35" t="e">
        <f>MATCH(Tableau6[Jours Mois]&amp;"/"&amp;Tableau6[[#Headers],[2022]],tabSuiviConso[Jour Mois Année],0)</f>
        <v>#N/A</v>
      </c>
      <c r="H46" s="35" t="str">
        <f>IF(ISNA(Tableau6[[#This Row],[Position 2022]]),"",INDEX(tabSuiviConso[HP + HC
cumul],Tableau6[[#This Row],[Position 2022]],1))</f>
        <v/>
      </c>
      <c r="I46" s="56" t="e">
        <f>IF(ISNA(Tableau6[[#This Row],[Position 2022]]),Tableau6[[#This Row],[Position 2022]],Tableau6[[#This Row],[2022]]-H$2)</f>
        <v>#N/A</v>
      </c>
      <c r="J46" s="35" t="e">
        <f>MATCH(Tableau6[Jours Mois]&amp;"/"&amp;Tableau6[[#Headers],[2023]],tabSuiviConso[Jour Mois Année],0)</f>
        <v>#N/A</v>
      </c>
      <c r="K46" s="35" t="e">
        <f>Tableau6[[#This Row],[Cumul 2022]]-Tableau6[[#This Row],[Cumul 2021]]</f>
        <v>#N/A</v>
      </c>
      <c r="L46" s="37" t="e">
        <f>Tableau6[[#This Row],[Ecart 2021 2022]]/Tableau6[[#This Row],[Cumul 2021]]</f>
        <v>#N/A</v>
      </c>
      <c r="M46" s="35" t="str">
        <f>IF(ISNA(Tableau6[[#This Row],[Position 2023]]),"",INDEX(tabSuiviConso[HP + HC
cumul],Tableau6[[#This Row],[Position 2023]],1))</f>
        <v/>
      </c>
      <c r="N46" s="56" t="e">
        <f>IF(ISNA(Tableau6[[#This Row],[Position 2023]]),Tableau6[[#This Row],[Position 2023]],Tableau6[[#This Row],[2023]]-M$2)</f>
        <v>#N/A</v>
      </c>
      <c r="O46" s="35" t="e">
        <f>Tableau6[[#This Row],[Cumul 2023]]-Tableau6[[#This Row],[Cumul 2022]]</f>
        <v>#N/A</v>
      </c>
      <c r="P46" s="37" t="e">
        <f>Tableau6[[#This Row],[Ecart 2022 2023]]/Tableau6[[#This Row],[Cumul 2022]]</f>
        <v>#N/A</v>
      </c>
      <c r="Q46" s="35" t="e">
        <f>MATCH(Tableau6[Jours Mois]&amp;"/"&amp;Tableau6[[#Headers],[2024]],tabSuiviConso[Jour Mois Année],0)</f>
        <v>#N/A</v>
      </c>
      <c r="R46" s="35" t="str">
        <f>IF(ISNA(Tableau6[[#This Row],[Position 2024]]),"",INDEX(tabSuiviConso[HP + HC
cumul],Tableau6[[#This Row],[Position 2024]],1))</f>
        <v/>
      </c>
      <c r="S46" s="56" t="e">
        <f>IF(ISNA(Tableau6[[#This Row],[Position 2024]]),Tableau6[[#This Row],[Position 2024]],Tableau6[[#This Row],[2024]]-R$2)</f>
        <v>#N/A</v>
      </c>
      <c r="T46" s="35" t="e">
        <f>Tableau6[[#This Row],[Cumul 2024]]-Tableau6[[#This Row],[Cumul 2023]]</f>
        <v>#N/A</v>
      </c>
      <c r="U46" s="36" t="e">
        <f>Tableau6[[#This Row],[Ecart 2023 2024]]/Tableau6[[#This Row],[Cumul 2023]]</f>
        <v>#N/A</v>
      </c>
    </row>
    <row r="47" spans="1:21" x14ac:dyDescent="0.2">
      <c r="A47" s="35">
        <v>2</v>
      </c>
      <c r="B47" s="35">
        <v>14</v>
      </c>
      <c r="C47" s="35" t="str">
        <f>Tableau6[Jour]&amp;"/"&amp;Tableau6[Mois]</f>
        <v>14/2</v>
      </c>
      <c r="D47" s="35" t="e">
        <f>MATCH(Tableau6[Jours Mois]&amp;"/"&amp;Tableau6[[#Headers],[2021]],tabSuiviConso[Jour Mois Année],0)</f>
        <v>#N/A</v>
      </c>
      <c r="E47" s="35" t="str">
        <f>IF(ISNA(Tableau6[[#This Row],[Position 2021]]),"",INDEX(tabSuiviConso[HP + HC
cumul],Tableau6[[#This Row],[Position 2021]],1))</f>
        <v/>
      </c>
      <c r="F47" s="56" t="e">
        <f>IF(ISNA(Tableau6[[#This Row],[Position 2021]]),Tableau6[[#This Row],[Position 2021]],Tableau6[[#This Row],[2021]]-E$2)</f>
        <v>#N/A</v>
      </c>
      <c r="G47" s="35" t="e">
        <f>MATCH(Tableau6[Jours Mois]&amp;"/"&amp;Tableau6[[#Headers],[2022]],tabSuiviConso[Jour Mois Année],0)</f>
        <v>#N/A</v>
      </c>
      <c r="H47" s="35" t="str">
        <f>IF(ISNA(Tableau6[[#This Row],[Position 2022]]),"",INDEX(tabSuiviConso[HP + HC
cumul],Tableau6[[#This Row],[Position 2022]],1))</f>
        <v/>
      </c>
      <c r="I47" s="56" t="e">
        <f>IF(ISNA(Tableau6[[#This Row],[Position 2022]]),Tableau6[[#This Row],[Position 2022]],Tableau6[[#This Row],[2022]]-H$2)</f>
        <v>#N/A</v>
      </c>
      <c r="J47" s="35" t="e">
        <f>MATCH(Tableau6[Jours Mois]&amp;"/"&amp;Tableau6[[#Headers],[2023]],tabSuiviConso[Jour Mois Année],0)</f>
        <v>#N/A</v>
      </c>
      <c r="K47" s="35" t="e">
        <f>Tableau6[[#This Row],[Cumul 2022]]-Tableau6[[#This Row],[Cumul 2021]]</f>
        <v>#N/A</v>
      </c>
      <c r="L47" s="37" t="e">
        <f>Tableau6[[#This Row],[Ecart 2021 2022]]/Tableau6[[#This Row],[Cumul 2021]]</f>
        <v>#N/A</v>
      </c>
      <c r="M47" s="35" t="str">
        <f>IF(ISNA(Tableau6[[#This Row],[Position 2023]]),"",INDEX(tabSuiviConso[HP + HC
cumul],Tableau6[[#This Row],[Position 2023]],1))</f>
        <v/>
      </c>
      <c r="N47" s="56" t="e">
        <f>IF(ISNA(Tableau6[[#This Row],[Position 2023]]),Tableau6[[#This Row],[Position 2023]],Tableau6[[#This Row],[2023]]-M$2)</f>
        <v>#N/A</v>
      </c>
      <c r="O47" s="35" t="e">
        <f>Tableau6[[#This Row],[Cumul 2023]]-Tableau6[[#This Row],[Cumul 2022]]</f>
        <v>#N/A</v>
      </c>
      <c r="P47" s="37" t="e">
        <f>Tableau6[[#This Row],[Ecart 2022 2023]]/Tableau6[[#This Row],[Cumul 2022]]</f>
        <v>#N/A</v>
      </c>
      <c r="Q47" s="35" t="e">
        <f>MATCH(Tableau6[Jours Mois]&amp;"/"&amp;Tableau6[[#Headers],[2024]],tabSuiviConso[Jour Mois Année],0)</f>
        <v>#N/A</v>
      </c>
      <c r="R47" s="35" t="str">
        <f>IF(ISNA(Tableau6[[#This Row],[Position 2024]]),"",INDEX(tabSuiviConso[HP + HC
cumul],Tableau6[[#This Row],[Position 2024]],1))</f>
        <v/>
      </c>
      <c r="S47" s="56" t="e">
        <f>IF(ISNA(Tableau6[[#This Row],[Position 2024]]),Tableau6[[#This Row],[Position 2024]],Tableau6[[#This Row],[2024]]-R$2)</f>
        <v>#N/A</v>
      </c>
      <c r="T47" s="35" t="e">
        <f>Tableau6[[#This Row],[Cumul 2024]]-Tableau6[[#This Row],[Cumul 2023]]</f>
        <v>#N/A</v>
      </c>
      <c r="U47" s="36" t="e">
        <f>Tableau6[[#This Row],[Ecart 2023 2024]]/Tableau6[[#This Row],[Cumul 2023]]</f>
        <v>#N/A</v>
      </c>
    </row>
    <row r="48" spans="1:21" x14ac:dyDescent="0.2">
      <c r="A48" s="35">
        <v>2</v>
      </c>
      <c r="B48" s="35">
        <v>15</v>
      </c>
      <c r="C48" s="35" t="str">
        <f>Tableau6[Jour]&amp;"/"&amp;Tableau6[Mois]</f>
        <v>15/2</v>
      </c>
      <c r="D48" s="35" t="e">
        <f>MATCH(Tableau6[Jours Mois]&amp;"/"&amp;Tableau6[[#Headers],[2021]],tabSuiviConso[Jour Mois Année],0)</f>
        <v>#N/A</v>
      </c>
      <c r="E48" s="35" t="str">
        <f>IF(ISNA(Tableau6[[#This Row],[Position 2021]]),"",INDEX(tabSuiviConso[HP + HC
cumul],Tableau6[[#This Row],[Position 2021]],1))</f>
        <v/>
      </c>
      <c r="F48" s="56" t="e">
        <f>IF(ISNA(Tableau6[[#This Row],[Position 2021]]),Tableau6[[#This Row],[Position 2021]],Tableau6[[#This Row],[2021]]-E$2)</f>
        <v>#N/A</v>
      </c>
      <c r="G48" s="35" t="e">
        <f>MATCH(Tableau6[Jours Mois]&amp;"/"&amp;Tableau6[[#Headers],[2022]],tabSuiviConso[Jour Mois Année],0)</f>
        <v>#N/A</v>
      </c>
      <c r="H48" s="35" t="str">
        <f>IF(ISNA(Tableau6[[#This Row],[Position 2022]]),"",INDEX(tabSuiviConso[HP + HC
cumul],Tableau6[[#This Row],[Position 2022]],1))</f>
        <v/>
      </c>
      <c r="I48" s="56" t="e">
        <f>IF(ISNA(Tableau6[[#This Row],[Position 2022]]),Tableau6[[#This Row],[Position 2022]],Tableau6[[#This Row],[2022]]-H$2)</f>
        <v>#N/A</v>
      </c>
      <c r="J48" s="35" t="e">
        <f>MATCH(Tableau6[Jours Mois]&amp;"/"&amp;Tableau6[[#Headers],[2023]],tabSuiviConso[Jour Mois Année],0)</f>
        <v>#N/A</v>
      </c>
      <c r="K48" s="35" t="e">
        <f>Tableau6[[#This Row],[Cumul 2022]]-Tableau6[[#This Row],[Cumul 2021]]</f>
        <v>#N/A</v>
      </c>
      <c r="L48" s="37" t="e">
        <f>Tableau6[[#This Row],[Ecart 2021 2022]]/Tableau6[[#This Row],[Cumul 2021]]</f>
        <v>#N/A</v>
      </c>
      <c r="M48" s="35" t="str">
        <f>IF(ISNA(Tableau6[[#This Row],[Position 2023]]),"",INDEX(tabSuiviConso[HP + HC
cumul],Tableau6[[#This Row],[Position 2023]],1))</f>
        <v/>
      </c>
      <c r="N48" s="56" t="e">
        <f>IF(ISNA(Tableau6[[#This Row],[Position 2023]]),Tableau6[[#This Row],[Position 2023]],Tableau6[[#This Row],[2023]]-M$2)</f>
        <v>#N/A</v>
      </c>
      <c r="O48" s="35" t="e">
        <f>Tableau6[[#This Row],[Cumul 2023]]-Tableau6[[#This Row],[Cumul 2022]]</f>
        <v>#N/A</v>
      </c>
      <c r="P48" s="37" t="e">
        <f>Tableau6[[#This Row],[Ecart 2022 2023]]/Tableau6[[#This Row],[Cumul 2022]]</f>
        <v>#N/A</v>
      </c>
      <c r="Q48" s="35" t="e">
        <f>MATCH(Tableau6[Jours Mois]&amp;"/"&amp;Tableau6[[#Headers],[2024]],tabSuiviConso[Jour Mois Année],0)</f>
        <v>#N/A</v>
      </c>
      <c r="R48" s="35" t="str">
        <f>IF(ISNA(Tableau6[[#This Row],[Position 2024]]),"",INDEX(tabSuiviConso[HP + HC
cumul],Tableau6[[#This Row],[Position 2024]],1))</f>
        <v/>
      </c>
      <c r="S48" s="56" t="e">
        <f>IF(ISNA(Tableau6[[#This Row],[Position 2024]]),Tableau6[[#This Row],[Position 2024]],Tableau6[[#This Row],[2024]]-R$2)</f>
        <v>#N/A</v>
      </c>
      <c r="T48" s="35" t="e">
        <f>Tableau6[[#This Row],[Cumul 2024]]-Tableau6[[#This Row],[Cumul 2023]]</f>
        <v>#N/A</v>
      </c>
      <c r="U48" s="36" t="e">
        <f>Tableau6[[#This Row],[Ecart 2023 2024]]/Tableau6[[#This Row],[Cumul 2023]]</f>
        <v>#N/A</v>
      </c>
    </row>
    <row r="49" spans="1:21" x14ac:dyDescent="0.2">
      <c r="A49" s="35">
        <v>2</v>
      </c>
      <c r="B49" s="35">
        <v>16</v>
      </c>
      <c r="C49" s="35" t="str">
        <f>Tableau6[Jour]&amp;"/"&amp;Tableau6[Mois]</f>
        <v>16/2</v>
      </c>
      <c r="D49" s="35" t="e">
        <f>MATCH(Tableau6[Jours Mois]&amp;"/"&amp;Tableau6[[#Headers],[2021]],tabSuiviConso[Jour Mois Année],0)</f>
        <v>#N/A</v>
      </c>
      <c r="E49" s="35" t="str">
        <f>IF(ISNA(Tableau6[[#This Row],[Position 2021]]),"",INDEX(tabSuiviConso[HP + HC
cumul],Tableau6[[#This Row],[Position 2021]],1))</f>
        <v/>
      </c>
      <c r="F49" s="56" t="e">
        <f>IF(ISNA(Tableau6[[#This Row],[Position 2021]]),Tableau6[[#This Row],[Position 2021]],Tableau6[[#This Row],[2021]]-E$2)</f>
        <v>#N/A</v>
      </c>
      <c r="G49" s="35" t="e">
        <f>MATCH(Tableau6[Jours Mois]&amp;"/"&amp;Tableau6[[#Headers],[2022]],tabSuiviConso[Jour Mois Année],0)</f>
        <v>#N/A</v>
      </c>
      <c r="H49" s="35" t="str">
        <f>IF(ISNA(Tableau6[[#This Row],[Position 2022]]),"",INDEX(tabSuiviConso[HP + HC
cumul],Tableau6[[#This Row],[Position 2022]],1))</f>
        <v/>
      </c>
      <c r="I49" s="56" t="e">
        <f>IF(ISNA(Tableau6[[#This Row],[Position 2022]]),Tableau6[[#This Row],[Position 2022]],Tableau6[[#This Row],[2022]]-H$2)</f>
        <v>#N/A</v>
      </c>
      <c r="J49" s="35" t="e">
        <f>MATCH(Tableau6[Jours Mois]&amp;"/"&amp;Tableau6[[#Headers],[2023]],tabSuiviConso[Jour Mois Année],0)</f>
        <v>#N/A</v>
      </c>
      <c r="K49" s="35" t="e">
        <f>Tableau6[[#This Row],[Cumul 2022]]-Tableau6[[#This Row],[Cumul 2021]]</f>
        <v>#N/A</v>
      </c>
      <c r="L49" s="37" t="e">
        <f>Tableau6[[#This Row],[Ecart 2021 2022]]/Tableau6[[#This Row],[Cumul 2021]]</f>
        <v>#N/A</v>
      </c>
      <c r="M49" s="35" t="str">
        <f>IF(ISNA(Tableau6[[#This Row],[Position 2023]]),"",INDEX(tabSuiviConso[HP + HC
cumul],Tableau6[[#This Row],[Position 2023]],1))</f>
        <v/>
      </c>
      <c r="N49" s="56" t="e">
        <f>IF(ISNA(Tableau6[[#This Row],[Position 2023]]),Tableau6[[#This Row],[Position 2023]],Tableau6[[#This Row],[2023]]-M$2)</f>
        <v>#N/A</v>
      </c>
      <c r="O49" s="35" t="e">
        <f>Tableau6[[#This Row],[Cumul 2023]]-Tableau6[[#This Row],[Cumul 2022]]</f>
        <v>#N/A</v>
      </c>
      <c r="P49" s="37" t="e">
        <f>Tableau6[[#This Row],[Ecart 2022 2023]]/Tableau6[[#This Row],[Cumul 2022]]</f>
        <v>#N/A</v>
      </c>
      <c r="Q49" s="35" t="e">
        <f>MATCH(Tableau6[Jours Mois]&amp;"/"&amp;Tableau6[[#Headers],[2024]],tabSuiviConso[Jour Mois Année],0)</f>
        <v>#N/A</v>
      </c>
      <c r="R49" s="35" t="str">
        <f>IF(ISNA(Tableau6[[#This Row],[Position 2024]]),"",INDEX(tabSuiviConso[HP + HC
cumul],Tableau6[[#This Row],[Position 2024]],1))</f>
        <v/>
      </c>
      <c r="S49" s="56" t="e">
        <f>IF(ISNA(Tableau6[[#This Row],[Position 2024]]),Tableau6[[#This Row],[Position 2024]],Tableau6[[#This Row],[2024]]-R$2)</f>
        <v>#N/A</v>
      </c>
      <c r="T49" s="35" t="e">
        <f>Tableau6[[#This Row],[Cumul 2024]]-Tableau6[[#This Row],[Cumul 2023]]</f>
        <v>#N/A</v>
      </c>
      <c r="U49" s="36" t="e">
        <f>Tableau6[[#This Row],[Ecart 2023 2024]]/Tableau6[[#This Row],[Cumul 2023]]</f>
        <v>#N/A</v>
      </c>
    </row>
    <row r="50" spans="1:21" x14ac:dyDescent="0.2">
      <c r="A50" s="35">
        <v>2</v>
      </c>
      <c r="B50" s="35">
        <v>17</v>
      </c>
      <c r="C50" s="35" t="str">
        <f>Tableau6[Jour]&amp;"/"&amp;Tableau6[Mois]</f>
        <v>17/2</v>
      </c>
      <c r="D50" s="35" t="e">
        <f>MATCH(Tableau6[Jours Mois]&amp;"/"&amp;Tableau6[[#Headers],[2021]],tabSuiviConso[Jour Mois Année],0)</f>
        <v>#N/A</v>
      </c>
      <c r="E50" s="35" t="str">
        <f>IF(ISNA(Tableau6[[#This Row],[Position 2021]]),"",INDEX(tabSuiviConso[HP + HC
cumul],Tableau6[[#This Row],[Position 2021]],1))</f>
        <v/>
      </c>
      <c r="F50" s="56" t="e">
        <f>IF(ISNA(Tableau6[[#This Row],[Position 2021]]),Tableau6[[#This Row],[Position 2021]],Tableau6[[#This Row],[2021]]-E$2)</f>
        <v>#N/A</v>
      </c>
      <c r="G50" s="35" t="e">
        <f>MATCH(Tableau6[Jours Mois]&amp;"/"&amp;Tableau6[[#Headers],[2022]],tabSuiviConso[Jour Mois Année],0)</f>
        <v>#N/A</v>
      </c>
      <c r="H50" s="35" t="str">
        <f>IF(ISNA(Tableau6[[#This Row],[Position 2022]]),"",INDEX(tabSuiviConso[HP + HC
cumul],Tableau6[[#This Row],[Position 2022]],1))</f>
        <v/>
      </c>
      <c r="I50" s="56" t="e">
        <f>IF(ISNA(Tableau6[[#This Row],[Position 2022]]),Tableau6[[#This Row],[Position 2022]],Tableau6[[#This Row],[2022]]-H$2)</f>
        <v>#N/A</v>
      </c>
      <c r="J50" s="35" t="e">
        <f>MATCH(Tableau6[Jours Mois]&amp;"/"&amp;Tableau6[[#Headers],[2023]],tabSuiviConso[Jour Mois Année],0)</f>
        <v>#N/A</v>
      </c>
      <c r="K50" s="35" t="e">
        <f>Tableau6[[#This Row],[Cumul 2022]]-Tableau6[[#This Row],[Cumul 2021]]</f>
        <v>#N/A</v>
      </c>
      <c r="L50" s="37" t="e">
        <f>Tableau6[[#This Row],[Ecart 2021 2022]]/Tableau6[[#This Row],[Cumul 2021]]</f>
        <v>#N/A</v>
      </c>
      <c r="M50" s="35" t="str">
        <f>IF(ISNA(Tableau6[[#This Row],[Position 2023]]),"",INDEX(tabSuiviConso[HP + HC
cumul],Tableau6[[#This Row],[Position 2023]],1))</f>
        <v/>
      </c>
      <c r="N50" s="56" t="e">
        <f>IF(ISNA(Tableau6[[#This Row],[Position 2023]]),Tableau6[[#This Row],[Position 2023]],Tableau6[[#This Row],[2023]]-M$2)</f>
        <v>#N/A</v>
      </c>
      <c r="O50" s="35" t="e">
        <f>Tableau6[[#This Row],[Cumul 2023]]-Tableau6[[#This Row],[Cumul 2022]]</f>
        <v>#N/A</v>
      </c>
      <c r="P50" s="37" t="e">
        <f>Tableau6[[#This Row],[Ecart 2022 2023]]/Tableau6[[#This Row],[Cumul 2022]]</f>
        <v>#N/A</v>
      </c>
      <c r="Q50" s="35" t="e">
        <f>MATCH(Tableau6[Jours Mois]&amp;"/"&amp;Tableau6[[#Headers],[2024]],tabSuiviConso[Jour Mois Année],0)</f>
        <v>#N/A</v>
      </c>
      <c r="R50" s="35" t="str">
        <f>IF(ISNA(Tableau6[[#This Row],[Position 2024]]),"",INDEX(tabSuiviConso[HP + HC
cumul],Tableau6[[#This Row],[Position 2024]],1))</f>
        <v/>
      </c>
      <c r="S50" s="56" t="e">
        <f>IF(ISNA(Tableau6[[#This Row],[Position 2024]]),Tableau6[[#This Row],[Position 2024]],Tableau6[[#This Row],[2024]]-R$2)</f>
        <v>#N/A</v>
      </c>
      <c r="T50" s="35" t="e">
        <f>Tableau6[[#This Row],[Cumul 2024]]-Tableau6[[#This Row],[Cumul 2023]]</f>
        <v>#N/A</v>
      </c>
      <c r="U50" s="36" t="e">
        <f>Tableau6[[#This Row],[Ecart 2023 2024]]/Tableau6[[#This Row],[Cumul 2023]]</f>
        <v>#N/A</v>
      </c>
    </row>
    <row r="51" spans="1:21" x14ac:dyDescent="0.2">
      <c r="A51" s="35">
        <v>2</v>
      </c>
      <c r="B51" s="35">
        <v>18</v>
      </c>
      <c r="C51" s="35" t="str">
        <f>Tableau6[Jour]&amp;"/"&amp;Tableau6[Mois]</f>
        <v>18/2</v>
      </c>
      <c r="D51" s="35" t="e">
        <f>MATCH(Tableau6[Jours Mois]&amp;"/"&amp;Tableau6[[#Headers],[2021]],tabSuiviConso[Jour Mois Année],0)</f>
        <v>#N/A</v>
      </c>
      <c r="E51" s="35" t="str">
        <f>IF(ISNA(Tableau6[[#This Row],[Position 2021]]),"",INDEX(tabSuiviConso[HP + HC
cumul],Tableau6[[#This Row],[Position 2021]],1))</f>
        <v/>
      </c>
      <c r="F51" s="56" t="e">
        <f>IF(ISNA(Tableau6[[#This Row],[Position 2021]]),Tableau6[[#This Row],[Position 2021]],Tableau6[[#This Row],[2021]]-E$2)</f>
        <v>#N/A</v>
      </c>
      <c r="G51" s="35" t="e">
        <f>MATCH(Tableau6[Jours Mois]&amp;"/"&amp;Tableau6[[#Headers],[2022]],tabSuiviConso[Jour Mois Année],0)</f>
        <v>#N/A</v>
      </c>
      <c r="H51" s="35" t="str">
        <f>IF(ISNA(Tableau6[[#This Row],[Position 2022]]),"",INDEX(tabSuiviConso[HP + HC
cumul],Tableau6[[#This Row],[Position 2022]],1))</f>
        <v/>
      </c>
      <c r="I51" s="56" t="e">
        <f>IF(ISNA(Tableau6[[#This Row],[Position 2022]]),Tableau6[[#This Row],[Position 2022]],Tableau6[[#This Row],[2022]]-H$2)</f>
        <v>#N/A</v>
      </c>
      <c r="J51" s="35" t="e">
        <f>MATCH(Tableau6[Jours Mois]&amp;"/"&amp;Tableau6[[#Headers],[2023]],tabSuiviConso[Jour Mois Année],0)</f>
        <v>#N/A</v>
      </c>
      <c r="K51" s="35" t="e">
        <f>Tableau6[[#This Row],[Cumul 2022]]-Tableau6[[#This Row],[Cumul 2021]]</f>
        <v>#N/A</v>
      </c>
      <c r="L51" s="37" t="e">
        <f>Tableau6[[#This Row],[Ecart 2021 2022]]/Tableau6[[#This Row],[Cumul 2021]]</f>
        <v>#N/A</v>
      </c>
      <c r="M51" s="35" t="str">
        <f>IF(ISNA(Tableau6[[#This Row],[Position 2023]]),"",INDEX(tabSuiviConso[HP + HC
cumul],Tableau6[[#This Row],[Position 2023]],1))</f>
        <v/>
      </c>
      <c r="N51" s="56" t="e">
        <f>IF(ISNA(Tableau6[[#This Row],[Position 2023]]),Tableau6[[#This Row],[Position 2023]],Tableau6[[#This Row],[2023]]-M$2)</f>
        <v>#N/A</v>
      </c>
      <c r="O51" s="35" t="e">
        <f>Tableau6[[#This Row],[Cumul 2023]]-Tableau6[[#This Row],[Cumul 2022]]</f>
        <v>#N/A</v>
      </c>
      <c r="P51" s="37" t="e">
        <f>Tableau6[[#This Row],[Ecart 2022 2023]]/Tableau6[[#This Row],[Cumul 2022]]</f>
        <v>#N/A</v>
      </c>
      <c r="Q51" s="35" t="e">
        <f>MATCH(Tableau6[Jours Mois]&amp;"/"&amp;Tableau6[[#Headers],[2024]],tabSuiviConso[Jour Mois Année],0)</f>
        <v>#N/A</v>
      </c>
      <c r="R51" s="35" t="str">
        <f>IF(ISNA(Tableau6[[#This Row],[Position 2024]]),"",INDEX(tabSuiviConso[HP + HC
cumul],Tableau6[[#This Row],[Position 2024]],1))</f>
        <v/>
      </c>
      <c r="S51" s="56" t="e">
        <f>IF(ISNA(Tableau6[[#This Row],[Position 2024]]),Tableau6[[#This Row],[Position 2024]],Tableau6[[#This Row],[2024]]-R$2)</f>
        <v>#N/A</v>
      </c>
      <c r="T51" s="35" t="e">
        <f>Tableau6[[#This Row],[Cumul 2024]]-Tableau6[[#This Row],[Cumul 2023]]</f>
        <v>#N/A</v>
      </c>
      <c r="U51" s="36" t="e">
        <f>Tableau6[[#This Row],[Ecart 2023 2024]]/Tableau6[[#This Row],[Cumul 2023]]</f>
        <v>#N/A</v>
      </c>
    </row>
    <row r="52" spans="1:21" x14ac:dyDescent="0.2">
      <c r="A52" s="35">
        <v>2</v>
      </c>
      <c r="B52" s="35">
        <v>19</v>
      </c>
      <c r="C52" s="35" t="str">
        <f>Tableau6[Jour]&amp;"/"&amp;Tableau6[Mois]</f>
        <v>19/2</v>
      </c>
      <c r="D52" s="35" t="e">
        <f>MATCH(Tableau6[Jours Mois]&amp;"/"&amp;Tableau6[[#Headers],[2021]],tabSuiviConso[Jour Mois Année],0)</f>
        <v>#N/A</v>
      </c>
      <c r="E52" s="35" t="str">
        <f>IF(ISNA(Tableau6[[#This Row],[Position 2021]]),"",INDEX(tabSuiviConso[HP + HC
cumul],Tableau6[[#This Row],[Position 2021]],1))</f>
        <v/>
      </c>
      <c r="F52" s="56" t="e">
        <f>IF(ISNA(Tableau6[[#This Row],[Position 2021]]),Tableau6[[#This Row],[Position 2021]],Tableau6[[#This Row],[2021]]-E$2)</f>
        <v>#N/A</v>
      </c>
      <c r="G52" s="35" t="e">
        <f>MATCH(Tableau6[Jours Mois]&amp;"/"&amp;Tableau6[[#Headers],[2022]],tabSuiviConso[Jour Mois Année],0)</f>
        <v>#N/A</v>
      </c>
      <c r="H52" s="35" t="str">
        <f>IF(ISNA(Tableau6[[#This Row],[Position 2022]]),"",INDEX(tabSuiviConso[HP + HC
cumul],Tableau6[[#This Row],[Position 2022]],1))</f>
        <v/>
      </c>
      <c r="I52" s="56" t="e">
        <f>IF(ISNA(Tableau6[[#This Row],[Position 2022]]),Tableau6[[#This Row],[Position 2022]],Tableau6[[#This Row],[2022]]-H$2)</f>
        <v>#N/A</v>
      </c>
      <c r="J52" s="35" t="e">
        <f>MATCH(Tableau6[Jours Mois]&amp;"/"&amp;Tableau6[[#Headers],[2023]],tabSuiviConso[Jour Mois Année],0)</f>
        <v>#N/A</v>
      </c>
      <c r="K52" s="35" t="e">
        <f>Tableau6[[#This Row],[Cumul 2022]]-Tableau6[[#This Row],[Cumul 2021]]</f>
        <v>#N/A</v>
      </c>
      <c r="L52" s="37" t="e">
        <f>Tableau6[[#This Row],[Ecart 2021 2022]]/Tableau6[[#This Row],[Cumul 2021]]</f>
        <v>#N/A</v>
      </c>
      <c r="M52" s="35" t="str">
        <f>IF(ISNA(Tableau6[[#This Row],[Position 2023]]),"",INDEX(tabSuiviConso[HP + HC
cumul],Tableau6[[#This Row],[Position 2023]],1))</f>
        <v/>
      </c>
      <c r="N52" s="56" t="e">
        <f>IF(ISNA(Tableau6[[#This Row],[Position 2023]]),Tableau6[[#This Row],[Position 2023]],Tableau6[[#This Row],[2023]]-M$2)</f>
        <v>#N/A</v>
      </c>
      <c r="O52" s="35" t="e">
        <f>Tableau6[[#This Row],[Cumul 2023]]-Tableau6[[#This Row],[Cumul 2022]]</f>
        <v>#N/A</v>
      </c>
      <c r="P52" s="37" t="e">
        <f>Tableau6[[#This Row],[Ecart 2022 2023]]/Tableau6[[#This Row],[Cumul 2022]]</f>
        <v>#N/A</v>
      </c>
      <c r="Q52" s="35" t="e">
        <f>MATCH(Tableau6[Jours Mois]&amp;"/"&amp;Tableau6[[#Headers],[2024]],tabSuiviConso[Jour Mois Année],0)</f>
        <v>#N/A</v>
      </c>
      <c r="R52" s="35" t="str">
        <f>IF(ISNA(Tableau6[[#This Row],[Position 2024]]),"",INDEX(tabSuiviConso[HP + HC
cumul],Tableau6[[#This Row],[Position 2024]],1))</f>
        <v/>
      </c>
      <c r="S52" s="56" t="e">
        <f>IF(ISNA(Tableau6[[#This Row],[Position 2024]]),Tableau6[[#This Row],[Position 2024]],Tableau6[[#This Row],[2024]]-R$2)</f>
        <v>#N/A</v>
      </c>
      <c r="T52" s="35" t="e">
        <f>Tableau6[[#This Row],[Cumul 2024]]-Tableau6[[#This Row],[Cumul 2023]]</f>
        <v>#N/A</v>
      </c>
      <c r="U52" s="36" t="e">
        <f>Tableau6[[#This Row],[Ecart 2023 2024]]/Tableau6[[#This Row],[Cumul 2023]]</f>
        <v>#N/A</v>
      </c>
    </row>
    <row r="53" spans="1:21" x14ac:dyDescent="0.2">
      <c r="A53" s="35">
        <v>2</v>
      </c>
      <c r="B53" s="35">
        <v>20</v>
      </c>
      <c r="C53" s="35" t="str">
        <f>Tableau6[Jour]&amp;"/"&amp;Tableau6[Mois]</f>
        <v>20/2</v>
      </c>
      <c r="D53" s="35" t="e">
        <f>MATCH(Tableau6[Jours Mois]&amp;"/"&amp;Tableau6[[#Headers],[2021]],tabSuiviConso[Jour Mois Année],0)</f>
        <v>#N/A</v>
      </c>
      <c r="E53" s="35" t="str">
        <f>IF(ISNA(Tableau6[[#This Row],[Position 2021]]),"",INDEX(tabSuiviConso[HP + HC
cumul],Tableau6[[#This Row],[Position 2021]],1))</f>
        <v/>
      </c>
      <c r="F53" s="56" t="e">
        <f>IF(ISNA(Tableau6[[#This Row],[Position 2021]]),Tableau6[[#This Row],[Position 2021]],Tableau6[[#This Row],[2021]]-E$2)</f>
        <v>#N/A</v>
      </c>
      <c r="G53" s="35" t="e">
        <f>MATCH(Tableau6[Jours Mois]&amp;"/"&amp;Tableau6[[#Headers],[2022]],tabSuiviConso[Jour Mois Année],0)</f>
        <v>#N/A</v>
      </c>
      <c r="H53" s="35" t="str">
        <f>IF(ISNA(Tableau6[[#This Row],[Position 2022]]),"",INDEX(tabSuiviConso[HP + HC
cumul],Tableau6[[#This Row],[Position 2022]],1))</f>
        <v/>
      </c>
      <c r="I53" s="56" t="e">
        <f>IF(ISNA(Tableau6[[#This Row],[Position 2022]]),Tableau6[[#This Row],[Position 2022]],Tableau6[[#This Row],[2022]]-H$2)</f>
        <v>#N/A</v>
      </c>
      <c r="J53" s="35" t="e">
        <f>MATCH(Tableau6[Jours Mois]&amp;"/"&amp;Tableau6[[#Headers],[2023]],tabSuiviConso[Jour Mois Année],0)</f>
        <v>#N/A</v>
      </c>
      <c r="K53" s="35" t="e">
        <f>Tableau6[[#This Row],[Cumul 2022]]-Tableau6[[#This Row],[Cumul 2021]]</f>
        <v>#N/A</v>
      </c>
      <c r="L53" s="37" t="e">
        <f>Tableau6[[#This Row],[Ecart 2021 2022]]/Tableau6[[#This Row],[Cumul 2021]]</f>
        <v>#N/A</v>
      </c>
      <c r="M53" s="35" t="str">
        <f>IF(ISNA(Tableau6[[#This Row],[Position 2023]]),"",INDEX(tabSuiviConso[HP + HC
cumul],Tableau6[[#This Row],[Position 2023]],1))</f>
        <v/>
      </c>
      <c r="N53" s="56" t="e">
        <f>IF(ISNA(Tableau6[[#This Row],[Position 2023]]),Tableau6[[#This Row],[Position 2023]],Tableau6[[#This Row],[2023]]-M$2)</f>
        <v>#N/A</v>
      </c>
      <c r="O53" s="35" t="e">
        <f>Tableau6[[#This Row],[Cumul 2023]]-Tableau6[[#This Row],[Cumul 2022]]</f>
        <v>#N/A</v>
      </c>
      <c r="P53" s="37" t="e">
        <f>Tableau6[[#This Row],[Ecart 2022 2023]]/Tableau6[[#This Row],[Cumul 2022]]</f>
        <v>#N/A</v>
      </c>
      <c r="Q53" s="35" t="e">
        <f>MATCH(Tableau6[Jours Mois]&amp;"/"&amp;Tableau6[[#Headers],[2024]],tabSuiviConso[Jour Mois Année],0)</f>
        <v>#N/A</v>
      </c>
      <c r="R53" s="35" t="str">
        <f>IF(ISNA(Tableau6[[#This Row],[Position 2024]]),"",INDEX(tabSuiviConso[HP + HC
cumul],Tableau6[[#This Row],[Position 2024]],1))</f>
        <v/>
      </c>
      <c r="S53" s="56" t="e">
        <f>IF(ISNA(Tableau6[[#This Row],[Position 2024]]),Tableau6[[#This Row],[Position 2024]],Tableau6[[#This Row],[2024]]-R$2)</f>
        <v>#N/A</v>
      </c>
      <c r="T53" s="35" t="e">
        <f>Tableau6[[#This Row],[Cumul 2024]]-Tableau6[[#This Row],[Cumul 2023]]</f>
        <v>#N/A</v>
      </c>
      <c r="U53" s="36" t="e">
        <f>Tableau6[[#This Row],[Ecart 2023 2024]]/Tableau6[[#This Row],[Cumul 2023]]</f>
        <v>#N/A</v>
      </c>
    </row>
    <row r="54" spans="1:21" x14ac:dyDescent="0.2">
      <c r="A54" s="35">
        <v>2</v>
      </c>
      <c r="B54" s="35">
        <v>21</v>
      </c>
      <c r="C54" s="35" t="str">
        <f>Tableau6[Jour]&amp;"/"&amp;Tableau6[Mois]</f>
        <v>21/2</v>
      </c>
      <c r="D54" s="35" t="e">
        <f>MATCH(Tableau6[Jours Mois]&amp;"/"&amp;Tableau6[[#Headers],[2021]],tabSuiviConso[Jour Mois Année],0)</f>
        <v>#N/A</v>
      </c>
      <c r="E54" s="35" t="str">
        <f>IF(ISNA(Tableau6[[#This Row],[Position 2021]]),"",INDEX(tabSuiviConso[HP + HC
cumul],Tableau6[[#This Row],[Position 2021]],1))</f>
        <v/>
      </c>
      <c r="F54" s="56" t="e">
        <f>IF(ISNA(Tableau6[[#This Row],[Position 2021]]),Tableau6[[#This Row],[Position 2021]],Tableau6[[#This Row],[2021]]-E$2)</f>
        <v>#N/A</v>
      </c>
      <c r="G54" s="35" t="e">
        <f>MATCH(Tableau6[Jours Mois]&amp;"/"&amp;Tableau6[[#Headers],[2022]],tabSuiviConso[Jour Mois Année],0)</f>
        <v>#N/A</v>
      </c>
      <c r="H54" s="35" t="str">
        <f>IF(ISNA(Tableau6[[#This Row],[Position 2022]]),"",INDEX(tabSuiviConso[HP + HC
cumul],Tableau6[[#This Row],[Position 2022]],1))</f>
        <v/>
      </c>
      <c r="I54" s="56" t="e">
        <f>IF(ISNA(Tableau6[[#This Row],[Position 2022]]),Tableau6[[#This Row],[Position 2022]],Tableau6[[#This Row],[2022]]-H$2)</f>
        <v>#N/A</v>
      </c>
      <c r="J54" s="35" t="e">
        <f>MATCH(Tableau6[Jours Mois]&amp;"/"&amp;Tableau6[[#Headers],[2023]],tabSuiviConso[Jour Mois Année],0)</f>
        <v>#N/A</v>
      </c>
      <c r="K54" s="35" t="e">
        <f>Tableau6[[#This Row],[Cumul 2022]]-Tableau6[[#This Row],[Cumul 2021]]</f>
        <v>#N/A</v>
      </c>
      <c r="L54" s="37" t="e">
        <f>Tableau6[[#This Row],[Ecart 2021 2022]]/Tableau6[[#This Row],[Cumul 2021]]</f>
        <v>#N/A</v>
      </c>
      <c r="M54" s="35" t="str">
        <f>IF(ISNA(Tableau6[[#This Row],[Position 2023]]),"",INDEX(tabSuiviConso[HP + HC
cumul],Tableau6[[#This Row],[Position 2023]],1))</f>
        <v/>
      </c>
      <c r="N54" s="56" t="e">
        <f>IF(ISNA(Tableau6[[#This Row],[Position 2023]]),Tableau6[[#This Row],[Position 2023]],Tableau6[[#This Row],[2023]]-M$2)</f>
        <v>#N/A</v>
      </c>
      <c r="O54" s="35" t="e">
        <f>Tableau6[[#This Row],[Cumul 2023]]-Tableau6[[#This Row],[Cumul 2022]]</f>
        <v>#N/A</v>
      </c>
      <c r="P54" s="37" t="e">
        <f>Tableau6[[#This Row],[Ecart 2022 2023]]/Tableau6[[#This Row],[Cumul 2022]]</f>
        <v>#N/A</v>
      </c>
      <c r="Q54" s="35" t="e">
        <f>MATCH(Tableau6[Jours Mois]&amp;"/"&amp;Tableau6[[#Headers],[2024]],tabSuiviConso[Jour Mois Année],0)</f>
        <v>#N/A</v>
      </c>
      <c r="R54" s="35" t="str">
        <f>IF(ISNA(Tableau6[[#This Row],[Position 2024]]),"",INDEX(tabSuiviConso[HP + HC
cumul],Tableau6[[#This Row],[Position 2024]],1))</f>
        <v/>
      </c>
      <c r="S54" s="56" t="e">
        <f>IF(ISNA(Tableau6[[#This Row],[Position 2024]]),Tableau6[[#This Row],[Position 2024]],Tableau6[[#This Row],[2024]]-R$2)</f>
        <v>#N/A</v>
      </c>
      <c r="T54" s="35" t="e">
        <f>Tableau6[[#This Row],[Cumul 2024]]-Tableau6[[#This Row],[Cumul 2023]]</f>
        <v>#N/A</v>
      </c>
      <c r="U54" s="36" t="e">
        <f>Tableau6[[#This Row],[Ecart 2023 2024]]/Tableau6[[#This Row],[Cumul 2023]]</f>
        <v>#N/A</v>
      </c>
    </row>
    <row r="55" spans="1:21" x14ac:dyDescent="0.2">
      <c r="A55" s="35">
        <v>2</v>
      </c>
      <c r="B55" s="35">
        <v>22</v>
      </c>
      <c r="C55" s="35" t="str">
        <f>Tableau6[Jour]&amp;"/"&amp;Tableau6[Mois]</f>
        <v>22/2</v>
      </c>
      <c r="D55" s="35" t="e">
        <f>MATCH(Tableau6[Jours Mois]&amp;"/"&amp;Tableau6[[#Headers],[2021]],tabSuiviConso[Jour Mois Année],0)</f>
        <v>#N/A</v>
      </c>
      <c r="E55" s="35" t="str">
        <f>IF(ISNA(Tableau6[[#This Row],[Position 2021]]),"",INDEX(tabSuiviConso[HP + HC
cumul],Tableau6[[#This Row],[Position 2021]],1))</f>
        <v/>
      </c>
      <c r="F55" s="56" t="e">
        <f>IF(ISNA(Tableau6[[#This Row],[Position 2021]]),Tableau6[[#This Row],[Position 2021]],Tableau6[[#This Row],[2021]]-E$2)</f>
        <v>#N/A</v>
      </c>
      <c r="G55" s="35" t="e">
        <f>MATCH(Tableau6[Jours Mois]&amp;"/"&amp;Tableau6[[#Headers],[2022]],tabSuiviConso[Jour Mois Année],0)</f>
        <v>#N/A</v>
      </c>
      <c r="H55" s="35" t="str">
        <f>IF(ISNA(Tableau6[[#This Row],[Position 2022]]),"",INDEX(tabSuiviConso[HP + HC
cumul],Tableau6[[#This Row],[Position 2022]],1))</f>
        <v/>
      </c>
      <c r="I55" s="56" t="e">
        <f>IF(ISNA(Tableau6[[#This Row],[Position 2022]]),Tableau6[[#This Row],[Position 2022]],Tableau6[[#This Row],[2022]]-H$2)</f>
        <v>#N/A</v>
      </c>
      <c r="J55" s="35" t="e">
        <f>MATCH(Tableau6[Jours Mois]&amp;"/"&amp;Tableau6[[#Headers],[2023]],tabSuiviConso[Jour Mois Année],0)</f>
        <v>#N/A</v>
      </c>
      <c r="K55" s="35" t="e">
        <f>Tableau6[[#This Row],[Cumul 2022]]-Tableau6[[#This Row],[Cumul 2021]]</f>
        <v>#N/A</v>
      </c>
      <c r="L55" s="37" t="e">
        <f>Tableau6[[#This Row],[Ecart 2021 2022]]/Tableau6[[#This Row],[Cumul 2021]]</f>
        <v>#N/A</v>
      </c>
      <c r="M55" s="35" t="str">
        <f>IF(ISNA(Tableau6[[#This Row],[Position 2023]]),"",INDEX(tabSuiviConso[HP + HC
cumul],Tableau6[[#This Row],[Position 2023]],1))</f>
        <v/>
      </c>
      <c r="N55" s="56" t="e">
        <f>IF(ISNA(Tableau6[[#This Row],[Position 2023]]),Tableau6[[#This Row],[Position 2023]],Tableau6[[#This Row],[2023]]-M$2)</f>
        <v>#N/A</v>
      </c>
      <c r="O55" s="35" t="e">
        <f>Tableau6[[#This Row],[Cumul 2023]]-Tableau6[[#This Row],[Cumul 2022]]</f>
        <v>#N/A</v>
      </c>
      <c r="P55" s="37" t="e">
        <f>Tableau6[[#This Row],[Ecart 2022 2023]]/Tableau6[[#This Row],[Cumul 2022]]</f>
        <v>#N/A</v>
      </c>
      <c r="Q55" s="35" t="e">
        <f>MATCH(Tableau6[Jours Mois]&amp;"/"&amp;Tableau6[[#Headers],[2024]],tabSuiviConso[Jour Mois Année],0)</f>
        <v>#N/A</v>
      </c>
      <c r="R55" s="35" t="str">
        <f>IF(ISNA(Tableau6[[#This Row],[Position 2024]]),"",INDEX(tabSuiviConso[HP + HC
cumul],Tableau6[[#This Row],[Position 2024]],1))</f>
        <v/>
      </c>
      <c r="S55" s="56" t="e">
        <f>IF(ISNA(Tableau6[[#This Row],[Position 2024]]),Tableau6[[#This Row],[Position 2024]],Tableau6[[#This Row],[2024]]-R$2)</f>
        <v>#N/A</v>
      </c>
      <c r="T55" s="35" t="e">
        <f>Tableau6[[#This Row],[Cumul 2024]]-Tableau6[[#This Row],[Cumul 2023]]</f>
        <v>#N/A</v>
      </c>
      <c r="U55" s="36" t="e">
        <f>Tableau6[[#This Row],[Ecart 2023 2024]]/Tableau6[[#This Row],[Cumul 2023]]</f>
        <v>#N/A</v>
      </c>
    </row>
    <row r="56" spans="1:21" x14ac:dyDescent="0.2">
      <c r="A56" s="35">
        <v>2</v>
      </c>
      <c r="B56" s="35">
        <v>23</v>
      </c>
      <c r="C56" s="35" t="str">
        <f>Tableau6[Jour]&amp;"/"&amp;Tableau6[Mois]</f>
        <v>23/2</v>
      </c>
      <c r="D56" s="35" t="e">
        <f>MATCH(Tableau6[Jours Mois]&amp;"/"&amp;Tableau6[[#Headers],[2021]],tabSuiviConso[Jour Mois Année],0)</f>
        <v>#N/A</v>
      </c>
      <c r="E56" s="35" t="str">
        <f>IF(ISNA(Tableau6[[#This Row],[Position 2021]]),"",INDEX(tabSuiviConso[HP + HC
cumul],Tableau6[[#This Row],[Position 2021]],1))</f>
        <v/>
      </c>
      <c r="F56" s="56" t="e">
        <f>IF(ISNA(Tableau6[[#This Row],[Position 2021]]),Tableau6[[#This Row],[Position 2021]],Tableau6[[#This Row],[2021]]-E$2)</f>
        <v>#N/A</v>
      </c>
      <c r="G56" s="35" t="e">
        <f>MATCH(Tableau6[Jours Mois]&amp;"/"&amp;Tableau6[[#Headers],[2022]],tabSuiviConso[Jour Mois Année],0)</f>
        <v>#N/A</v>
      </c>
      <c r="H56" s="35" t="str">
        <f>IF(ISNA(Tableau6[[#This Row],[Position 2022]]),"",INDEX(tabSuiviConso[HP + HC
cumul],Tableau6[[#This Row],[Position 2022]],1))</f>
        <v/>
      </c>
      <c r="I56" s="56" t="e">
        <f>IF(ISNA(Tableau6[[#This Row],[Position 2022]]),Tableau6[[#This Row],[Position 2022]],Tableau6[[#This Row],[2022]]-H$2)</f>
        <v>#N/A</v>
      </c>
      <c r="J56" s="35" t="e">
        <f>MATCH(Tableau6[Jours Mois]&amp;"/"&amp;Tableau6[[#Headers],[2023]],tabSuiviConso[Jour Mois Année],0)</f>
        <v>#N/A</v>
      </c>
      <c r="K56" s="35" t="e">
        <f>Tableau6[[#This Row],[Cumul 2022]]-Tableau6[[#This Row],[Cumul 2021]]</f>
        <v>#N/A</v>
      </c>
      <c r="L56" s="37" t="e">
        <f>Tableau6[[#This Row],[Ecart 2021 2022]]/Tableau6[[#This Row],[Cumul 2021]]</f>
        <v>#N/A</v>
      </c>
      <c r="M56" s="35" t="str">
        <f>IF(ISNA(Tableau6[[#This Row],[Position 2023]]),"",INDEX(tabSuiviConso[HP + HC
cumul],Tableau6[[#This Row],[Position 2023]],1))</f>
        <v/>
      </c>
      <c r="N56" s="56" t="e">
        <f>IF(ISNA(Tableau6[[#This Row],[Position 2023]]),Tableau6[[#This Row],[Position 2023]],Tableau6[[#This Row],[2023]]-M$2)</f>
        <v>#N/A</v>
      </c>
      <c r="O56" s="35" t="e">
        <f>Tableau6[[#This Row],[Cumul 2023]]-Tableau6[[#This Row],[Cumul 2022]]</f>
        <v>#N/A</v>
      </c>
      <c r="P56" s="37" t="e">
        <f>Tableau6[[#This Row],[Ecart 2022 2023]]/Tableau6[[#This Row],[Cumul 2022]]</f>
        <v>#N/A</v>
      </c>
      <c r="Q56" s="35" t="e">
        <f>MATCH(Tableau6[Jours Mois]&amp;"/"&amp;Tableau6[[#Headers],[2024]],tabSuiviConso[Jour Mois Année],0)</f>
        <v>#N/A</v>
      </c>
      <c r="R56" s="35" t="str">
        <f>IF(ISNA(Tableau6[[#This Row],[Position 2024]]),"",INDEX(tabSuiviConso[HP + HC
cumul],Tableau6[[#This Row],[Position 2024]],1))</f>
        <v/>
      </c>
      <c r="S56" s="56" t="e">
        <f>IF(ISNA(Tableau6[[#This Row],[Position 2024]]),Tableau6[[#This Row],[Position 2024]],Tableau6[[#This Row],[2024]]-R$2)</f>
        <v>#N/A</v>
      </c>
      <c r="T56" s="35" t="e">
        <f>Tableau6[[#This Row],[Cumul 2024]]-Tableau6[[#This Row],[Cumul 2023]]</f>
        <v>#N/A</v>
      </c>
      <c r="U56" s="36" t="e">
        <f>Tableau6[[#This Row],[Ecart 2023 2024]]/Tableau6[[#This Row],[Cumul 2023]]</f>
        <v>#N/A</v>
      </c>
    </row>
    <row r="57" spans="1:21" x14ac:dyDescent="0.2">
      <c r="A57" s="35">
        <v>2</v>
      </c>
      <c r="B57" s="35">
        <v>24</v>
      </c>
      <c r="C57" s="35" t="str">
        <f>Tableau6[Jour]&amp;"/"&amp;Tableau6[Mois]</f>
        <v>24/2</v>
      </c>
      <c r="D57" s="35" t="e">
        <f>MATCH(Tableau6[Jours Mois]&amp;"/"&amp;Tableau6[[#Headers],[2021]],tabSuiviConso[Jour Mois Année],0)</f>
        <v>#N/A</v>
      </c>
      <c r="E57" s="35" t="str">
        <f>IF(ISNA(Tableau6[[#This Row],[Position 2021]]),"",INDEX(tabSuiviConso[HP + HC
cumul],Tableau6[[#This Row],[Position 2021]],1))</f>
        <v/>
      </c>
      <c r="F57" s="56" t="e">
        <f>IF(ISNA(Tableau6[[#This Row],[Position 2021]]),Tableau6[[#This Row],[Position 2021]],Tableau6[[#This Row],[2021]]-E$2)</f>
        <v>#N/A</v>
      </c>
      <c r="G57" s="35" t="e">
        <f>MATCH(Tableau6[Jours Mois]&amp;"/"&amp;Tableau6[[#Headers],[2022]],tabSuiviConso[Jour Mois Année],0)</f>
        <v>#N/A</v>
      </c>
      <c r="H57" s="35" t="str">
        <f>IF(ISNA(Tableau6[[#This Row],[Position 2022]]),"",INDEX(tabSuiviConso[HP + HC
cumul],Tableau6[[#This Row],[Position 2022]],1))</f>
        <v/>
      </c>
      <c r="I57" s="56" t="e">
        <f>IF(ISNA(Tableau6[[#This Row],[Position 2022]]),Tableau6[[#This Row],[Position 2022]],Tableau6[[#This Row],[2022]]-H$2)</f>
        <v>#N/A</v>
      </c>
      <c r="J57" s="35" t="e">
        <f>MATCH(Tableau6[Jours Mois]&amp;"/"&amp;Tableau6[[#Headers],[2023]],tabSuiviConso[Jour Mois Année],0)</f>
        <v>#N/A</v>
      </c>
      <c r="K57" s="35" t="e">
        <f>Tableau6[[#This Row],[Cumul 2022]]-Tableau6[[#This Row],[Cumul 2021]]</f>
        <v>#N/A</v>
      </c>
      <c r="L57" s="37" t="e">
        <f>Tableau6[[#This Row],[Ecart 2021 2022]]/Tableau6[[#This Row],[Cumul 2021]]</f>
        <v>#N/A</v>
      </c>
      <c r="M57" s="35" t="str">
        <f>IF(ISNA(Tableau6[[#This Row],[Position 2023]]),"",INDEX(tabSuiviConso[HP + HC
cumul],Tableau6[[#This Row],[Position 2023]],1))</f>
        <v/>
      </c>
      <c r="N57" s="56" t="e">
        <f>IF(ISNA(Tableau6[[#This Row],[Position 2023]]),Tableau6[[#This Row],[Position 2023]],Tableau6[[#This Row],[2023]]-M$2)</f>
        <v>#N/A</v>
      </c>
      <c r="O57" s="35" t="e">
        <f>Tableau6[[#This Row],[Cumul 2023]]-Tableau6[[#This Row],[Cumul 2022]]</f>
        <v>#N/A</v>
      </c>
      <c r="P57" s="37" t="e">
        <f>Tableau6[[#This Row],[Ecart 2022 2023]]/Tableau6[[#This Row],[Cumul 2022]]</f>
        <v>#N/A</v>
      </c>
      <c r="Q57" s="35" t="e">
        <f>MATCH(Tableau6[Jours Mois]&amp;"/"&amp;Tableau6[[#Headers],[2024]],tabSuiviConso[Jour Mois Année],0)</f>
        <v>#N/A</v>
      </c>
      <c r="R57" s="35" t="str">
        <f>IF(ISNA(Tableau6[[#This Row],[Position 2024]]),"",INDEX(tabSuiviConso[HP + HC
cumul],Tableau6[[#This Row],[Position 2024]],1))</f>
        <v/>
      </c>
      <c r="S57" s="56" t="e">
        <f>IF(ISNA(Tableau6[[#This Row],[Position 2024]]),Tableau6[[#This Row],[Position 2024]],Tableau6[[#This Row],[2024]]-R$2)</f>
        <v>#N/A</v>
      </c>
      <c r="T57" s="35" t="e">
        <f>Tableau6[[#This Row],[Cumul 2024]]-Tableau6[[#This Row],[Cumul 2023]]</f>
        <v>#N/A</v>
      </c>
      <c r="U57" s="36" t="e">
        <f>Tableau6[[#This Row],[Ecart 2023 2024]]/Tableau6[[#This Row],[Cumul 2023]]</f>
        <v>#N/A</v>
      </c>
    </row>
    <row r="58" spans="1:21" x14ac:dyDescent="0.2">
      <c r="A58" s="35">
        <v>2</v>
      </c>
      <c r="B58" s="35">
        <v>25</v>
      </c>
      <c r="C58" s="35" t="str">
        <f>Tableau6[Jour]&amp;"/"&amp;Tableau6[Mois]</f>
        <v>25/2</v>
      </c>
      <c r="D58" s="35" t="e">
        <f>MATCH(Tableau6[Jours Mois]&amp;"/"&amp;Tableau6[[#Headers],[2021]],tabSuiviConso[Jour Mois Année],0)</f>
        <v>#N/A</v>
      </c>
      <c r="E58" s="35" t="str">
        <f>IF(ISNA(Tableau6[[#This Row],[Position 2021]]),"",INDEX(tabSuiviConso[HP + HC
cumul],Tableau6[[#This Row],[Position 2021]],1))</f>
        <v/>
      </c>
      <c r="F58" s="56" t="e">
        <f>IF(ISNA(Tableau6[[#This Row],[Position 2021]]),Tableau6[[#This Row],[Position 2021]],Tableau6[[#This Row],[2021]]-E$2)</f>
        <v>#N/A</v>
      </c>
      <c r="G58" s="35" t="e">
        <f>MATCH(Tableau6[Jours Mois]&amp;"/"&amp;Tableau6[[#Headers],[2022]],tabSuiviConso[Jour Mois Année],0)</f>
        <v>#N/A</v>
      </c>
      <c r="H58" s="35" t="str">
        <f>IF(ISNA(Tableau6[[#This Row],[Position 2022]]),"",INDEX(tabSuiviConso[HP + HC
cumul],Tableau6[[#This Row],[Position 2022]],1))</f>
        <v/>
      </c>
      <c r="I58" s="56" t="e">
        <f>IF(ISNA(Tableau6[[#This Row],[Position 2022]]),Tableau6[[#This Row],[Position 2022]],Tableau6[[#This Row],[2022]]-H$2)</f>
        <v>#N/A</v>
      </c>
      <c r="J58" s="35" t="e">
        <f>MATCH(Tableau6[Jours Mois]&amp;"/"&amp;Tableau6[[#Headers],[2023]],tabSuiviConso[Jour Mois Année],0)</f>
        <v>#N/A</v>
      </c>
      <c r="K58" s="35" t="e">
        <f>Tableau6[[#This Row],[Cumul 2022]]-Tableau6[[#This Row],[Cumul 2021]]</f>
        <v>#N/A</v>
      </c>
      <c r="L58" s="37" t="e">
        <f>Tableau6[[#This Row],[Ecart 2021 2022]]/Tableau6[[#This Row],[Cumul 2021]]</f>
        <v>#N/A</v>
      </c>
      <c r="M58" s="35" t="str">
        <f>IF(ISNA(Tableau6[[#This Row],[Position 2023]]),"",INDEX(tabSuiviConso[HP + HC
cumul],Tableau6[[#This Row],[Position 2023]],1))</f>
        <v/>
      </c>
      <c r="N58" s="56" t="e">
        <f>IF(ISNA(Tableau6[[#This Row],[Position 2023]]),Tableau6[[#This Row],[Position 2023]],Tableau6[[#This Row],[2023]]-M$2)</f>
        <v>#N/A</v>
      </c>
      <c r="O58" s="35" t="e">
        <f>Tableau6[[#This Row],[Cumul 2023]]-Tableau6[[#This Row],[Cumul 2022]]</f>
        <v>#N/A</v>
      </c>
      <c r="P58" s="37" t="e">
        <f>Tableau6[[#This Row],[Ecart 2022 2023]]/Tableau6[[#This Row],[Cumul 2022]]</f>
        <v>#N/A</v>
      </c>
      <c r="Q58" s="35" t="e">
        <f>MATCH(Tableau6[Jours Mois]&amp;"/"&amp;Tableau6[[#Headers],[2024]],tabSuiviConso[Jour Mois Année],0)</f>
        <v>#N/A</v>
      </c>
      <c r="R58" s="35" t="str">
        <f>IF(ISNA(Tableau6[[#This Row],[Position 2024]]),"",INDEX(tabSuiviConso[HP + HC
cumul],Tableau6[[#This Row],[Position 2024]],1))</f>
        <v/>
      </c>
      <c r="S58" s="56" t="e">
        <f>IF(ISNA(Tableau6[[#This Row],[Position 2024]]),Tableau6[[#This Row],[Position 2024]],Tableau6[[#This Row],[2024]]-R$2)</f>
        <v>#N/A</v>
      </c>
      <c r="T58" s="35" t="e">
        <f>Tableau6[[#This Row],[Cumul 2024]]-Tableau6[[#This Row],[Cumul 2023]]</f>
        <v>#N/A</v>
      </c>
      <c r="U58" s="36" t="e">
        <f>Tableau6[[#This Row],[Ecart 2023 2024]]/Tableau6[[#This Row],[Cumul 2023]]</f>
        <v>#N/A</v>
      </c>
    </row>
    <row r="59" spans="1:21" x14ac:dyDescent="0.2">
      <c r="A59" s="35">
        <v>2</v>
      </c>
      <c r="B59" s="35">
        <v>26</v>
      </c>
      <c r="C59" s="35" t="str">
        <f>Tableau6[Jour]&amp;"/"&amp;Tableau6[Mois]</f>
        <v>26/2</v>
      </c>
      <c r="D59" s="35" t="e">
        <f>MATCH(Tableau6[Jours Mois]&amp;"/"&amp;Tableau6[[#Headers],[2021]],tabSuiviConso[Jour Mois Année],0)</f>
        <v>#N/A</v>
      </c>
      <c r="E59" s="35" t="str">
        <f>IF(ISNA(Tableau6[[#This Row],[Position 2021]]),"",INDEX(tabSuiviConso[HP + HC
cumul],Tableau6[[#This Row],[Position 2021]],1))</f>
        <v/>
      </c>
      <c r="F59" s="56" t="e">
        <f>IF(ISNA(Tableau6[[#This Row],[Position 2021]]),Tableau6[[#This Row],[Position 2021]],Tableau6[[#This Row],[2021]]-E$2)</f>
        <v>#N/A</v>
      </c>
      <c r="G59" s="35" t="e">
        <f>MATCH(Tableau6[Jours Mois]&amp;"/"&amp;Tableau6[[#Headers],[2022]],tabSuiviConso[Jour Mois Année],0)</f>
        <v>#N/A</v>
      </c>
      <c r="H59" s="35" t="str">
        <f>IF(ISNA(Tableau6[[#This Row],[Position 2022]]),"",INDEX(tabSuiviConso[HP + HC
cumul],Tableau6[[#This Row],[Position 2022]],1))</f>
        <v/>
      </c>
      <c r="I59" s="56" t="e">
        <f>IF(ISNA(Tableau6[[#This Row],[Position 2022]]),Tableau6[[#This Row],[Position 2022]],Tableau6[[#This Row],[2022]]-H$2)</f>
        <v>#N/A</v>
      </c>
      <c r="J59" s="35" t="e">
        <f>MATCH(Tableau6[Jours Mois]&amp;"/"&amp;Tableau6[[#Headers],[2023]],tabSuiviConso[Jour Mois Année],0)</f>
        <v>#N/A</v>
      </c>
      <c r="K59" s="35" t="e">
        <f>Tableau6[[#This Row],[Cumul 2022]]-Tableau6[[#This Row],[Cumul 2021]]</f>
        <v>#N/A</v>
      </c>
      <c r="L59" s="37" t="e">
        <f>Tableau6[[#This Row],[Ecart 2021 2022]]/Tableau6[[#This Row],[Cumul 2021]]</f>
        <v>#N/A</v>
      </c>
      <c r="M59" s="35" t="str">
        <f>IF(ISNA(Tableau6[[#This Row],[Position 2023]]),"",INDEX(tabSuiviConso[HP + HC
cumul],Tableau6[[#This Row],[Position 2023]],1))</f>
        <v/>
      </c>
      <c r="N59" s="56" t="e">
        <f>IF(ISNA(Tableau6[[#This Row],[Position 2023]]),Tableau6[[#This Row],[Position 2023]],Tableau6[[#This Row],[2023]]-M$2)</f>
        <v>#N/A</v>
      </c>
      <c r="O59" s="35" t="e">
        <f>Tableau6[[#This Row],[Cumul 2023]]-Tableau6[[#This Row],[Cumul 2022]]</f>
        <v>#N/A</v>
      </c>
      <c r="P59" s="37" t="e">
        <f>Tableau6[[#This Row],[Ecart 2022 2023]]/Tableau6[[#This Row],[Cumul 2022]]</f>
        <v>#N/A</v>
      </c>
      <c r="Q59" s="35" t="e">
        <f>MATCH(Tableau6[Jours Mois]&amp;"/"&amp;Tableau6[[#Headers],[2024]],tabSuiviConso[Jour Mois Année],0)</f>
        <v>#N/A</v>
      </c>
      <c r="R59" s="35" t="str">
        <f>IF(ISNA(Tableau6[[#This Row],[Position 2024]]),"",INDEX(tabSuiviConso[HP + HC
cumul],Tableau6[[#This Row],[Position 2024]],1))</f>
        <v/>
      </c>
      <c r="S59" s="56" t="e">
        <f>IF(ISNA(Tableau6[[#This Row],[Position 2024]]),Tableau6[[#This Row],[Position 2024]],Tableau6[[#This Row],[2024]]-R$2)</f>
        <v>#N/A</v>
      </c>
      <c r="T59" s="35" t="e">
        <f>Tableau6[[#This Row],[Cumul 2024]]-Tableau6[[#This Row],[Cumul 2023]]</f>
        <v>#N/A</v>
      </c>
      <c r="U59" s="36" t="e">
        <f>Tableau6[[#This Row],[Ecart 2023 2024]]/Tableau6[[#This Row],[Cumul 2023]]</f>
        <v>#N/A</v>
      </c>
    </row>
    <row r="60" spans="1:21" x14ac:dyDescent="0.2">
      <c r="A60" s="35">
        <v>2</v>
      </c>
      <c r="B60" s="35">
        <v>27</v>
      </c>
      <c r="C60" s="35" t="str">
        <f>Tableau6[Jour]&amp;"/"&amp;Tableau6[Mois]</f>
        <v>27/2</v>
      </c>
      <c r="D60" s="35" t="e">
        <f>MATCH(Tableau6[Jours Mois]&amp;"/"&amp;Tableau6[[#Headers],[2021]],tabSuiviConso[Jour Mois Année],0)</f>
        <v>#N/A</v>
      </c>
      <c r="E60" s="35" t="str">
        <f>IF(ISNA(Tableau6[[#This Row],[Position 2021]]),"",INDEX(tabSuiviConso[HP + HC
cumul],Tableau6[[#This Row],[Position 2021]],1))</f>
        <v/>
      </c>
      <c r="F60" s="56" t="e">
        <f>IF(ISNA(Tableau6[[#This Row],[Position 2021]]),Tableau6[[#This Row],[Position 2021]],Tableau6[[#This Row],[2021]]-E$2)</f>
        <v>#N/A</v>
      </c>
      <c r="G60" s="35" t="e">
        <f>MATCH(Tableau6[Jours Mois]&amp;"/"&amp;Tableau6[[#Headers],[2022]],tabSuiviConso[Jour Mois Année],0)</f>
        <v>#N/A</v>
      </c>
      <c r="H60" s="35" t="str">
        <f>IF(ISNA(Tableau6[[#This Row],[Position 2022]]),"",INDEX(tabSuiviConso[HP + HC
cumul],Tableau6[[#This Row],[Position 2022]],1))</f>
        <v/>
      </c>
      <c r="I60" s="56" t="e">
        <f>IF(ISNA(Tableau6[[#This Row],[Position 2022]]),Tableau6[[#This Row],[Position 2022]],Tableau6[[#This Row],[2022]]-H$2)</f>
        <v>#N/A</v>
      </c>
      <c r="J60" s="35" t="e">
        <f>MATCH(Tableau6[Jours Mois]&amp;"/"&amp;Tableau6[[#Headers],[2023]],tabSuiviConso[Jour Mois Année],0)</f>
        <v>#N/A</v>
      </c>
      <c r="K60" s="35" t="e">
        <f>Tableau6[[#This Row],[Cumul 2022]]-Tableau6[[#This Row],[Cumul 2021]]</f>
        <v>#N/A</v>
      </c>
      <c r="L60" s="37" t="e">
        <f>Tableau6[[#This Row],[Ecart 2021 2022]]/Tableau6[[#This Row],[Cumul 2021]]</f>
        <v>#N/A</v>
      </c>
      <c r="M60" s="35" t="str">
        <f>IF(ISNA(Tableau6[[#This Row],[Position 2023]]),"",INDEX(tabSuiviConso[HP + HC
cumul],Tableau6[[#This Row],[Position 2023]],1))</f>
        <v/>
      </c>
      <c r="N60" s="56" t="e">
        <f>IF(ISNA(Tableau6[[#This Row],[Position 2023]]),Tableau6[[#This Row],[Position 2023]],Tableau6[[#This Row],[2023]]-M$2)</f>
        <v>#N/A</v>
      </c>
      <c r="O60" s="35" t="e">
        <f>Tableau6[[#This Row],[Cumul 2023]]-Tableau6[[#This Row],[Cumul 2022]]</f>
        <v>#N/A</v>
      </c>
      <c r="P60" s="37" t="e">
        <f>Tableau6[[#This Row],[Ecart 2022 2023]]/Tableau6[[#This Row],[Cumul 2022]]</f>
        <v>#N/A</v>
      </c>
      <c r="Q60" s="35" t="e">
        <f>MATCH(Tableau6[Jours Mois]&amp;"/"&amp;Tableau6[[#Headers],[2024]],tabSuiviConso[Jour Mois Année],0)</f>
        <v>#N/A</v>
      </c>
      <c r="R60" s="35" t="str">
        <f>IF(ISNA(Tableau6[[#This Row],[Position 2024]]),"",INDEX(tabSuiviConso[HP + HC
cumul],Tableau6[[#This Row],[Position 2024]],1))</f>
        <v/>
      </c>
      <c r="S60" s="56" t="e">
        <f>IF(ISNA(Tableau6[[#This Row],[Position 2024]]),Tableau6[[#This Row],[Position 2024]],Tableau6[[#This Row],[2024]]-R$2)</f>
        <v>#N/A</v>
      </c>
      <c r="T60" s="35" t="e">
        <f>Tableau6[[#This Row],[Cumul 2024]]-Tableau6[[#This Row],[Cumul 2023]]</f>
        <v>#N/A</v>
      </c>
      <c r="U60" s="36" t="e">
        <f>Tableau6[[#This Row],[Ecart 2023 2024]]/Tableau6[[#This Row],[Cumul 2023]]</f>
        <v>#N/A</v>
      </c>
    </row>
    <row r="61" spans="1:21" x14ac:dyDescent="0.2">
      <c r="A61" s="35">
        <v>2</v>
      </c>
      <c r="B61" s="35">
        <v>28</v>
      </c>
      <c r="C61" s="35" t="str">
        <f>Tableau6[Jour]&amp;"/"&amp;Tableau6[Mois]</f>
        <v>28/2</v>
      </c>
      <c r="D61" s="35" t="e">
        <f>MATCH(Tableau6[Jours Mois]&amp;"/"&amp;Tableau6[[#Headers],[2021]],tabSuiviConso[Jour Mois Année],0)</f>
        <v>#N/A</v>
      </c>
      <c r="E61" s="35" t="str">
        <f>IF(ISNA(Tableau6[[#This Row],[Position 2021]]),"",INDEX(tabSuiviConso[HP + HC
cumul],Tableau6[[#This Row],[Position 2021]],1))</f>
        <v/>
      </c>
      <c r="F61" s="56" t="e">
        <f>IF(ISNA(Tableau6[[#This Row],[Position 2021]]),Tableau6[[#This Row],[Position 2021]],Tableau6[[#This Row],[2021]]-E$2)</f>
        <v>#N/A</v>
      </c>
      <c r="G61" s="35" t="e">
        <f>MATCH(Tableau6[Jours Mois]&amp;"/"&amp;Tableau6[[#Headers],[2022]],tabSuiviConso[Jour Mois Année],0)</f>
        <v>#N/A</v>
      </c>
      <c r="H61" s="35" t="str">
        <f>IF(ISNA(Tableau6[[#This Row],[Position 2022]]),"",INDEX(tabSuiviConso[HP + HC
cumul],Tableau6[[#This Row],[Position 2022]],1))</f>
        <v/>
      </c>
      <c r="I61" s="56" t="e">
        <f>IF(ISNA(Tableau6[[#This Row],[Position 2022]]),Tableau6[[#This Row],[Position 2022]],Tableau6[[#This Row],[2022]]-H$2)</f>
        <v>#N/A</v>
      </c>
      <c r="J61" s="35" t="e">
        <f>MATCH(Tableau6[Jours Mois]&amp;"/"&amp;Tableau6[[#Headers],[2023]],tabSuiviConso[Jour Mois Année],0)</f>
        <v>#N/A</v>
      </c>
      <c r="K61" s="35" t="e">
        <f>Tableau6[[#This Row],[Cumul 2022]]-Tableau6[[#This Row],[Cumul 2021]]</f>
        <v>#N/A</v>
      </c>
      <c r="L61" s="37" t="e">
        <f>Tableau6[[#This Row],[Ecart 2021 2022]]/Tableau6[[#This Row],[Cumul 2021]]</f>
        <v>#N/A</v>
      </c>
      <c r="M61" s="35" t="str">
        <f>IF(ISNA(Tableau6[[#This Row],[Position 2023]]),"",INDEX(tabSuiviConso[HP + HC
cumul],Tableau6[[#This Row],[Position 2023]],1))</f>
        <v/>
      </c>
      <c r="N61" s="56" t="e">
        <f>IF(ISNA(Tableau6[[#This Row],[Position 2023]]),Tableau6[[#This Row],[Position 2023]],Tableau6[[#This Row],[2023]]-M$2)</f>
        <v>#N/A</v>
      </c>
      <c r="O61" s="35" t="e">
        <f>Tableau6[[#This Row],[Cumul 2023]]-Tableau6[[#This Row],[Cumul 2022]]</f>
        <v>#N/A</v>
      </c>
      <c r="P61" s="37" t="e">
        <f>Tableau6[[#This Row],[Ecart 2022 2023]]/Tableau6[[#This Row],[Cumul 2022]]</f>
        <v>#N/A</v>
      </c>
      <c r="Q61" s="35" t="e">
        <f>MATCH(Tableau6[Jours Mois]&amp;"/"&amp;Tableau6[[#Headers],[2024]],tabSuiviConso[Jour Mois Année],0)</f>
        <v>#N/A</v>
      </c>
      <c r="R61" s="35" t="str">
        <f>IF(ISNA(Tableau6[[#This Row],[Position 2024]]),"",INDEX(tabSuiviConso[HP + HC
cumul],Tableau6[[#This Row],[Position 2024]],1))</f>
        <v/>
      </c>
      <c r="S61" s="56" t="e">
        <f>IF(ISNA(Tableau6[[#This Row],[Position 2024]]),Tableau6[[#This Row],[Position 2024]],Tableau6[[#This Row],[2024]]-R$2)</f>
        <v>#N/A</v>
      </c>
      <c r="T61" s="35" t="e">
        <f>Tableau6[[#This Row],[Cumul 2024]]-Tableau6[[#This Row],[Cumul 2023]]</f>
        <v>#N/A</v>
      </c>
      <c r="U61" s="36" t="e">
        <f>Tableau6[[#This Row],[Ecart 2023 2024]]/Tableau6[[#This Row],[Cumul 2023]]</f>
        <v>#N/A</v>
      </c>
    </row>
    <row r="62" spans="1:21" x14ac:dyDescent="0.2">
      <c r="A62" s="35">
        <v>2</v>
      </c>
      <c r="B62" s="35">
        <v>29</v>
      </c>
      <c r="C62" s="35" t="str">
        <f>Tableau6[Jour]&amp;"/"&amp;Tableau6[Mois]</f>
        <v>29/2</v>
      </c>
      <c r="D62" s="35" t="e">
        <f>MATCH(Tableau6[Jours Mois]&amp;"/"&amp;Tableau6[[#Headers],[2021]],tabSuiviConso[Jour Mois Année],0)</f>
        <v>#N/A</v>
      </c>
      <c r="E62" s="35" t="str">
        <f>IF(ISNA(Tableau6[[#This Row],[Position 2021]]),"",INDEX(tabSuiviConso[HP + HC
cumul],Tableau6[[#This Row],[Position 2021]],1))</f>
        <v/>
      </c>
      <c r="F62" s="56" t="e">
        <f>IF(ISNA(Tableau6[[#This Row],[Position 2021]]),Tableau6[[#This Row],[Position 2021]],Tableau6[[#This Row],[2021]]-E$2)</f>
        <v>#N/A</v>
      </c>
      <c r="G62" s="35" t="e">
        <f>MATCH(Tableau6[Jours Mois]&amp;"/"&amp;Tableau6[[#Headers],[2022]],tabSuiviConso[Jour Mois Année],0)</f>
        <v>#N/A</v>
      </c>
      <c r="H62" s="35" t="str">
        <f>IF(ISNA(Tableau6[[#This Row],[Position 2022]]),"",INDEX(tabSuiviConso[HP + HC
cumul],Tableau6[[#This Row],[Position 2022]],1))</f>
        <v/>
      </c>
      <c r="I62" s="56" t="e">
        <f>IF(ISNA(Tableau6[[#This Row],[Position 2022]]),Tableau6[[#This Row],[Position 2022]],Tableau6[[#This Row],[2022]]-H$2)</f>
        <v>#N/A</v>
      </c>
      <c r="J62" s="35" t="e">
        <f>MATCH(Tableau6[Jours Mois]&amp;"/"&amp;Tableau6[[#Headers],[2023]],tabSuiviConso[Jour Mois Année],0)</f>
        <v>#N/A</v>
      </c>
      <c r="K62" s="35" t="e">
        <f>Tableau6[[#This Row],[Cumul 2022]]-Tableau6[[#This Row],[Cumul 2021]]</f>
        <v>#N/A</v>
      </c>
      <c r="L62" s="37" t="e">
        <f>Tableau6[[#This Row],[Ecart 2021 2022]]/Tableau6[[#This Row],[Cumul 2021]]</f>
        <v>#N/A</v>
      </c>
      <c r="M62" s="35" t="str">
        <f>IF(ISNA(Tableau6[[#This Row],[Position 2023]]),"",INDEX(tabSuiviConso[HP + HC
cumul],Tableau6[[#This Row],[Position 2023]],1))</f>
        <v/>
      </c>
      <c r="N62" s="56" t="e">
        <f>IF(ISNA(Tableau6[[#This Row],[Position 2023]]),Tableau6[[#This Row],[Position 2023]],Tableau6[[#This Row],[2023]]-M$2)</f>
        <v>#N/A</v>
      </c>
      <c r="O62" s="35" t="e">
        <f>Tableau6[[#This Row],[Cumul 2023]]-Tableau6[[#This Row],[Cumul 2022]]</f>
        <v>#N/A</v>
      </c>
      <c r="P62" s="37" t="e">
        <f>Tableau6[[#This Row],[Ecart 2022 2023]]/Tableau6[[#This Row],[Cumul 2022]]</f>
        <v>#N/A</v>
      </c>
      <c r="Q62" s="35" t="e">
        <f>MATCH(Tableau6[Jours Mois]&amp;"/"&amp;Tableau6[[#Headers],[2024]],tabSuiviConso[Jour Mois Année],0)</f>
        <v>#N/A</v>
      </c>
      <c r="R62" s="35" t="str">
        <f>IF(ISNA(Tableau6[[#This Row],[Position 2024]]),"",INDEX(tabSuiviConso[HP + HC
cumul],Tableau6[[#This Row],[Position 2024]],1))</f>
        <v/>
      </c>
      <c r="S62" s="56" t="e">
        <f>IF(ISNA(Tableau6[[#This Row],[Position 2024]]),Tableau6[[#This Row],[Position 2024]],Tableau6[[#This Row],[2024]]-R$2)</f>
        <v>#N/A</v>
      </c>
      <c r="T62" s="35" t="e">
        <f>Tableau6[[#This Row],[Cumul 2024]]-Tableau6[[#This Row],[Cumul 2023]]</f>
        <v>#N/A</v>
      </c>
      <c r="U62" s="36" t="e">
        <f>Tableau6[[#This Row],[Ecart 2023 2024]]/Tableau6[[#This Row],[Cumul 2023]]</f>
        <v>#N/A</v>
      </c>
    </row>
    <row r="63" spans="1:21" x14ac:dyDescent="0.2">
      <c r="A63" s="35">
        <v>3</v>
      </c>
      <c r="B63" s="35">
        <v>1</v>
      </c>
      <c r="C63" s="35" t="str">
        <f>Tableau6[Jour]&amp;"/"&amp;Tableau6[Mois]</f>
        <v>1/3</v>
      </c>
      <c r="D63" s="35" t="e">
        <f>MATCH(Tableau6[Jours Mois]&amp;"/"&amp;Tableau6[[#Headers],[2021]],tabSuiviConso[Jour Mois Année],0)</f>
        <v>#N/A</v>
      </c>
      <c r="E63" s="35" t="str">
        <f>IF(ISNA(Tableau6[[#This Row],[Position 2021]]),"",INDEX(tabSuiviConso[HP + HC
cumul],Tableau6[[#This Row],[Position 2021]],1))</f>
        <v/>
      </c>
      <c r="F63" s="56" t="e">
        <f>IF(ISNA(Tableau6[[#This Row],[Position 2021]]),Tableau6[[#This Row],[Position 2021]],Tableau6[[#This Row],[2021]]-E$2)</f>
        <v>#N/A</v>
      </c>
      <c r="G63" s="35" t="e">
        <f>MATCH(Tableau6[Jours Mois]&amp;"/"&amp;Tableau6[[#Headers],[2022]],tabSuiviConso[Jour Mois Année],0)</f>
        <v>#N/A</v>
      </c>
      <c r="H63" s="35" t="str">
        <f>IF(ISNA(Tableau6[[#This Row],[Position 2022]]),"",INDEX(tabSuiviConso[HP + HC
cumul],Tableau6[[#This Row],[Position 2022]],1))</f>
        <v/>
      </c>
      <c r="I63" s="56" t="e">
        <f>IF(ISNA(Tableau6[[#This Row],[Position 2022]]),Tableau6[[#This Row],[Position 2022]],Tableau6[[#This Row],[2022]]-H$2)</f>
        <v>#N/A</v>
      </c>
      <c r="J63" s="35" t="e">
        <f>MATCH(Tableau6[Jours Mois]&amp;"/"&amp;Tableau6[[#Headers],[2023]],tabSuiviConso[Jour Mois Année],0)</f>
        <v>#N/A</v>
      </c>
      <c r="K63" s="35" t="e">
        <f>Tableau6[[#This Row],[Cumul 2022]]-Tableau6[[#This Row],[Cumul 2021]]</f>
        <v>#N/A</v>
      </c>
      <c r="L63" s="37" t="e">
        <f>Tableau6[[#This Row],[Ecart 2021 2022]]/Tableau6[[#This Row],[Cumul 2021]]</f>
        <v>#N/A</v>
      </c>
      <c r="M63" s="35" t="str">
        <f>IF(ISNA(Tableau6[[#This Row],[Position 2023]]),"",INDEX(tabSuiviConso[HP + HC
cumul],Tableau6[[#This Row],[Position 2023]],1))</f>
        <v/>
      </c>
      <c r="N63" s="56" t="e">
        <f>IF(ISNA(Tableau6[[#This Row],[Position 2023]]),Tableau6[[#This Row],[Position 2023]],Tableau6[[#This Row],[2023]]-M$2)</f>
        <v>#N/A</v>
      </c>
      <c r="O63" s="35" t="e">
        <f>Tableau6[[#This Row],[Cumul 2023]]-Tableau6[[#This Row],[Cumul 2022]]</f>
        <v>#N/A</v>
      </c>
      <c r="P63" s="37" t="e">
        <f>Tableau6[[#This Row],[Ecart 2022 2023]]/Tableau6[[#This Row],[Cumul 2022]]</f>
        <v>#N/A</v>
      </c>
      <c r="Q63" s="35" t="e">
        <f>MATCH(Tableau6[Jours Mois]&amp;"/"&amp;Tableau6[[#Headers],[2024]],tabSuiviConso[Jour Mois Année],0)</f>
        <v>#N/A</v>
      </c>
      <c r="R63" s="35" t="str">
        <f>IF(ISNA(Tableau6[[#This Row],[Position 2024]]),"",INDEX(tabSuiviConso[HP + HC
cumul],Tableau6[[#This Row],[Position 2024]],1))</f>
        <v/>
      </c>
      <c r="S63" s="56" t="e">
        <f>IF(ISNA(Tableau6[[#This Row],[Position 2024]]),Tableau6[[#This Row],[Position 2024]],Tableau6[[#This Row],[2024]]-R$2)</f>
        <v>#N/A</v>
      </c>
      <c r="T63" s="35" t="e">
        <f>Tableau6[[#This Row],[Cumul 2024]]-Tableau6[[#This Row],[Cumul 2023]]</f>
        <v>#N/A</v>
      </c>
      <c r="U63" s="36" t="e">
        <f>Tableau6[[#This Row],[Ecart 2023 2024]]/Tableau6[[#This Row],[Cumul 2023]]</f>
        <v>#N/A</v>
      </c>
    </row>
    <row r="64" spans="1:21" x14ac:dyDescent="0.2">
      <c r="A64" s="35">
        <v>3</v>
      </c>
      <c r="B64" s="35">
        <v>2</v>
      </c>
      <c r="C64" s="35" t="str">
        <f>Tableau6[Jour]&amp;"/"&amp;Tableau6[Mois]</f>
        <v>2/3</v>
      </c>
      <c r="D64" s="35" t="e">
        <f>MATCH(Tableau6[Jours Mois]&amp;"/"&amp;Tableau6[[#Headers],[2021]],tabSuiviConso[Jour Mois Année],0)</f>
        <v>#N/A</v>
      </c>
      <c r="E64" s="35" t="str">
        <f>IF(ISNA(Tableau6[[#This Row],[Position 2021]]),"",INDEX(tabSuiviConso[HP + HC
cumul],Tableau6[[#This Row],[Position 2021]],1))</f>
        <v/>
      </c>
      <c r="F64" s="56" t="e">
        <f>IF(ISNA(Tableau6[[#This Row],[Position 2021]]),Tableau6[[#This Row],[Position 2021]],Tableau6[[#This Row],[2021]]-E$2)</f>
        <v>#N/A</v>
      </c>
      <c r="G64" s="35" t="e">
        <f>MATCH(Tableau6[Jours Mois]&amp;"/"&amp;Tableau6[[#Headers],[2022]],tabSuiviConso[Jour Mois Année],0)</f>
        <v>#N/A</v>
      </c>
      <c r="H64" s="35" t="str">
        <f>IF(ISNA(Tableau6[[#This Row],[Position 2022]]),"",INDEX(tabSuiviConso[HP + HC
cumul],Tableau6[[#This Row],[Position 2022]],1))</f>
        <v/>
      </c>
      <c r="I64" s="56" t="e">
        <f>IF(ISNA(Tableau6[[#This Row],[Position 2022]]),Tableau6[[#This Row],[Position 2022]],Tableau6[[#This Row],[2022]]-H$2)</f>
        <v>#N/A</v>
      </c>
      <c r="J64" s="35" t="e">
        <f>MATCH(Tableau6[Jours Mois]&amp;"/"&amp;Tableau6[[#Headers],[2023]],tabSuiviConso[Jour Mois Année],0)</f>
        <v>#N/A</v>
      </c>
      <c r="K64" s="35" t="e">
        <f>Tableau6[[#This Row],[Cumul 2022]]-Tableau6[[#This Row],[Cumul 2021]]</f>
        <v>#N/A</v>
      </c>
      <c r="L64" s="37" t="e">
        <f>Tableau6[[#This Row],[Ecart 2021 2022]]/Tableau6[[#This Row],[Cumul 2021]]</f>
        <v>#N/A</v>
      </c>
      <c r="M64" s="35" t="str">
        <f>IF(ISNA(Tableau6[[#This Row],[Position 2023]]),"",INDEX(tabSuiviConso[HP + HC
cumul],Tableau6[[#This Row],[Position 2023]],1))</f>
        <v/>
      </c>
      <c r="N64" s="56" t="e">
        <f>IF(ISNA(Tableau6[[#This Row],[Position 2023]]),Tableau6[[#This Row],[Position 2023]],Tableau6[[#This Row],[2023]]-M$2)</f>
        <v>#N/A</v>
      </c>
      <c r="O64" s="35" t="e">
        <f>Tableau6[[#This Row],[Cumul 2023]]-Tableau6[[#This Row],[Cumul 2022]]</f>
        <v>#N/A</v>
      </c>
      <c r="P64" s="37" t="e">
        <f>Tableau6[[#This Row],[Ecart 2022 2023]]/Tableau6[[#This Row],[Cumul 2022]]</f>
        <v>#N/A</v>
      </c>
      <c r="Q64" s="35" t="e">
        <f>MATCH(Tableau6[Jours Mois]&amp;"/"&amp;Tableau6[[#Headers],[2024]],tabSuiviConso[Jour Mois Année],0)</f>
        <v>#N/A</v>
      </c>
      <c r="R64" s="35" t="str">
        <f>IF(ISNA(Tableau6[[#This Row],[Position 2024]]),"",INDEX(tabSuiviConso[HP + HC
cumul],Tableau6[[#This Row],[Position 2024]],1))</f>
        <v/>
      </c>
      <c r="S64" s="56" t="e">
        <f>IF(ISNA(Tableau6[[#This Row],[Position 2024]]),Tableau6[[#This Row],[Position 2024]],Tableau6[[#This Row],[2024]]-R$2)</f>
        <v>#N/A</v>
      </c>
      <c r="T64" s="35" t="e">
        <f>Tableau6[[#This Row],[Cumul 2024]]-Tableau6[[#This Row],[Cumul 2023]]</f>
        <v>#N/A</v>
      </c>
      <c r="U64" s="36" t="e">
        <f>Tableau6[[#This Row],[Ecart 2023 2024]]/Tableau6[[#This Row],[Cumul 2023]]</f>
        <v>#N/A</v>
      </c>
    </row>
    <row r="65" spans="1:21" x14ac:dyDescent="0.2">
      <c r="A65" s="35">
        <v>3</v>
      </c>
      <c r="B65" s="35">
        <v>3</v>
      </c>
      <c r="C65" s="35" t="str">
        <f>Tableau6[Jour]&amp;"/"&amp;Tableau6[Mois]</f>
        <v>3/3</v>
      </c>
      <c r="D65" s="35" t="e">
        <f>MATCH(Tableau6[Jours Mois]&amp;"/"&amp;Tableau6[[#Headers],[2021]],tabSuiviConso[Jour Mois Année],0)</f>
        <v>#N/A</v>
      </c>
      <c r="E65" s="35" t="str">
        <f>IF(ISNA(Tableau6[[#This Row],[Position 2021]]),"",INDEX(tabSuiviConso[HP + HC
cumul],Tableau6[[#This Row],[Position 2021]],1))</f>
        <v/>
      </c>
      <c r="F65" s="56" t="e">
        <f>IF(ISNA(Tableau6[[#This Row],[Position 2021]]),Tableau6[[#This Row],[Position 2021]],Tableau6[[#This Row],[2021]]-E$2)</f>
        <v>#N/A</v>
      </c>
      <c r="G65" s="35" t="e">
        <f>MATCH(Tableau6[Jours Mois]&amp;"/"&amp;Tableau6[[#Headers],[2022]],tabSuiviConso[Jour Mois Année],0)</f>
        <v>#N/A</v>
      </c>
      <c r="H65" s="35" t="str">
        <f>IF(ISNA(Tableau6[[#This Row],[Position 2022]]),"",INDEX(tabSuiviConso[HP + HC
cumul],Tableau6[[#This Row],[Position 2022]],1))</f>
        <v/>
      </c>
      <c r="I65" s="56" t="e">
        <f>IF(ISNA(Tableau6[[#This Row],[Position 2022]]),Tableau6[[#This Row],[Position 2022]],Tableau6[[#This Row],[2022]]-H$2)</f>
        <v>#N/A</v>
      </c>
      <c r="J65" s="35" t="e">
        <f>MATCH(Tableau6[Jours Mois]&amp;"/"&amp;Tableau6[[#Headers],[2023]],tabSuiviConso[Jour Mois Année],0)</f>
        <v>#N/A</v>
      </c>
      <c r="K65" s="35" t="e">
        <f>Tableau6[[#This Row],[Cumul 2022]]-Tableau6[[#This Row],[Cumul 2021]]</f>
        <v>#N/A</v>
      </c>
      <c r="L65" s="37" t="e">
        <f>Tableau6[[#This Row],[Ecart 2021 2022]]/Tableau6[[#This Row],[Cumul 2021]]</f>
        <v>#N/A</v>
      </c>
      <c r="M65" s="35" t="str">
        <f>IF(ISNA(Tableau6[[#This Row],[Position 2023]]),"",INDEX(tabSuiviConso[HP + HC
cumul],Tableau6[[#This Row],[Position 2023]],1))</f>
        <v/>
      </c>
      <c r="N65" s="56" t="e">
        <f>IF(ISNA(Tableau6[[#This Row],[Position 2023]]),Tableau6[[#This Row],[Position 2023]],Tableau6[[#This Row],[2023]]-M$2)</f>
        <v>#N/A</v>
      </c>
      <c r="O65" s="35" t="e">
        <f>Tableau6[[#This Row],[Cumul 2023]]-Tableau6[[#This Row],[Cumul 2022]]</f>
        <v>#N/A</v>
      </c>
      <c r="P65" s="37" t="e">
        <f>Tableau6[[#This Row],[Ecart 2022 2023]]/Tableau6[[#This Row],[Cumul 2022]]</f>
        <v>#N/A</v>
      </c>
      <c r="Q65" s="35" t="e">
        <f>MATCH(Tableau6[Jours Mois]&amp;"/"&amp;Tableau6[[#Headers],[2024]],tabSuiviConso[Jour Mois Année],0)</f>
        <v>#N/A</v>
      </c>
      <c r="R65" s="35" t="str">
        <f>IF(ISNA(Tableau6[[#This Row],[Position 2024]]),"",INDEX(tabSuiviConso[HP + HC
cumul],Tableau6[[#This Row],[Position 2024]],1))</f>
        <v/>
      </c>
      <c r="S65" s="56" t="e">
        <f>IF(ISNA(Tableau6[[#This Row],[Position 2024]]),Tableau6[[#This Row],[Position 2024]],Tableau6[[#This Row],[2024]]-R$2)</f>
        <v>#N/A</v>
      </c>
      <c r="T65" s="35" t="e">
        <f>Tableau6[[#This Row],[Cumul 2024]]-Tableau6[[#This Row],[Cumul 2023]]</f>
        <v>#N/A</v>
      </c>
      <c r="U65" s="36" t="e">
        <f>Tableau6[[#This Row],[Ecart 2023 2024]]/Tableau6[[#This Row],[Cumul 2023]]</f>
        <v>#N/A</v>
      </c>
    </row>
    <row r="66" spans="1:21" x14ac:dyDescent="0.2">
      <c r="A66" s="35">
        <v>3</v>
      </c>
      <c r="B66" s="35">
        <v>4</v>
      </c>
      <c r="C66" s="35" t="str">
        <f>Tableau6[Jour]&amp;"/"&amp;Tableau6[Mois]</f>
        <v>4/3</v>
      </c>
      <c r="D66" s="35" t="e">
        <f>MATCH(Tableau6[Jours Mois]&amp;"/"&amp;Tableau6[[#Headers],[2021]],tabSuiviConso[Jour Mois Année],0)</f>
        <v>#N/A</v>
      </c>
      <c r="E66" s="35" t="str">
        <f>IF(ISNA(Tableau6[[#This Row],[Position 2021]]),"",INDEX(tabSuiviConso[HP + HC
cumul],Tableau6[[#This Row],[Position 2021]],1))</f>
        <v/>
      </c>
      <c r="F66" s="56" t="e">
        <f>IF(ISNA(Tableau6[[#This Row],[Position 2021]]),Tableau6[[#This Row],[Position 2021]],Tableau6[[#This Row],[2021]]-E$2)</f>
        <v>#N/A</v>
      </c>
      <c r="G66" s="35" t="e">
        <f>MATCH(Tableau6[Jours Mois]&amp;"/"&amp;Tableau6[[#Headers],[2022]],tabSuiviConso[Jour Mois Année],0)</f>
        <v>#N/A</v>
      </c>
      <c r="H66" s="35" t="str">
        <f>IF(ISNA(Tableau6[[#This Row],[Position 2022]]),"",INDEX(tabSuiviConso[HP + HC
cumul],Tableau6[[#This Row],[Position 2022]],1))</f>
        <v/>
      </c>
      <c r="I66" s="56" t="e">
        <f>IF(ISNA(Tableau6[[#This Row],[Position 2022]]),Tableau6[[#This Row],[Position 2022]],Tableau6[[#This Row],[2022]]-H$2)</f>
        <v>#N/A</v>
      </c>
      <c r="J66" s="35" t="e">
        <f>MATCH(Tableau6[Jours Mois]&amp;"/"&amp;Tableau6[[#Headers],[2023]],tabSuiviConso[Jour Mois Année],0)</f>
        <v>#N/A</v>
      </c>
      <c r="K66" s="35" t="e">
        <f>Tableau6[[#This Row],[Cumul 2022]]-Tableau6[[#This Row],[Cumul 2021]]</f>
        <v>#N/A</v>
      </c>
      <c r="L66" s="37" t="e">
        <f>Tableau6[[#This Row],[Ecart 2021 2022]]/Tableau6[[#This Row],[Cumul 2021]]</f>
        <v>#N/A</v>
      </c>
      <c r="M66" s="35" t="str">
        <f>IF(ISNA(Tableau6[[#This Row],[Position 2023]]),"",INDEX(tabSuiviConso[HP + HC
cumul],Tableau6[[#This Row],[Position 2023]],1))</f>
        <v/>
      </c>
      <c r="N66" s="56" t="e">
        <f>IF(ISNA(Tableau6[[#This Row],[Position 2023]]),Tableau6[[#This Row],[Position 2023]],Tableau6[[#This Row],[2023]]-M$2)</f>
        <v>#N/A</v>
      </c>
      <c r="O66" s="35" t="e">
        <f>Tableau6[[#This Row],[Cumul 2023]]-Tableau6[[#This Row],[Cumul 2022]]</f>
        <v>#N/A</v>
      </c>
      <c r="P66" s="37" t="e">
        <f>Tableau6[[#This Row],[Ecart 2022 2023]]/Tableau6[[#This Row],[Cumul 2022]]</f>
        <v>#N/A</v>
      </c>
      <c r="Q66" s="35" t="e">
        <f>MATCH(Tableau6[Jours Mois]&amp;"/"&amp;Tableau6[[#Headers],[2024]],tabSuiviConso[Jour Mois Année],0)</f>
        <v>#N/A</v>
      </c>
      <c r="R66" s="35" t="str">
        <f>IF(ISNA(Tableau6[[#This Row],[Position 2024]]),"",INDEX(tabSuiviConso[HP + HC
cumul],Tableau6[[#This Row],[Position 2024]],1))</f>
        <v/>
      </c>
      <c r="S66" s="56" t="e">
        <f>IF(ISNA(Tableau6[[#This Row],[Position 2024]]),Tableau6[[#This Row],[Position 2024]],Tableau6[[#This Row],[2024]]-R$2)</f>
        <v>#N/A</v>
      </c>
      <c r="T66" s="35" t="e">
        <f>Tableau6[[#This Row],[Cumul 2024]]-Tableau6[[#This Row],[Cumul 2023]]</f>
        <v>#N/A</v>
      </c>
      <c r="U66" s="36" t="e">
        <f>Tableau6[[#This Row],[Ecart 2023 2024]]/Tableau6[[#This Row],[Cumul 2023]]</f>
        <v>#N/A</v>
      </c>
    </row>
    <row r="67" spans="1:21" x14ac:dyDescent="0.2">
      <c r="A67" s="35">
        <v>3</v>
      </c>
      <c r="B67" s="35">
        <v>5</v>
      </c>
      <c r="C67" s="35" t="str">
        <f>Tableau6[Jour]&amp;"/"&amp;Tableau6[Mois]</f>
        <v>5/3</v>
      </c>
      <c r="D67" s="35" t="e">
        <f>MATCH(Tableau6[Jours Mois]&amp;"/"&amp;Tableau6[[#Headers],[2021]],tabSuiviConso[Jour Mois Année],0)</f>
        <v>#N/A</v>
      </c>
      <c r="E67" s="35" t="str">
        <f>IF(ISNA(Tableau6[[#This Row],[Position 2021]]),"",INDEX(tabSuiviConso[HP + HC
cumul],Tableau6[[#This Row],[Position 2021]],1))</f>
        <v/>
      </c>
      <c r="F67" s="56" t="e">
        <f>IF(ISNA(Tableau6[[#This Row],[Position 2021]]),Tableau6[[#This Row],[Position 2021]],Tableau6[[#This Row],[2021]]-E$2)</f>
        <v>#N/A</v>
      </c>
      <c r="G67" s="35" t="e">
        <f>MATCH(Tableau6[Jours Mois]&amp;"/"&amp;Tableau6[[#Headers],[2022]],tabSuiviConso[Jour Mois Année],0)</f>
        <v>#N/A</v>
      </c>
      <c r="H67" s="35" t="str">
        <f>IF(ISNA(Tableau6[[#This Row],[Position 2022]]),"",INDEX(tabSuiviConso[HP + HC
cumul],Tableau6[[#This Row],[Position 2022]],1))</f>
        <v/>
      </c>
      <c r="I67" s="56" t="e">
        <f>IF(ISNA(Tableau6[[#This Row],[Position 2022]]),Tableau6[[#This Row],[Position 2022]],Tableau6[[#This Row],[2022]]-H$2)</f>
        <v>#N/A</v>
      </c>
      <c r="J67" s="35" t="e">
        <f>MATCH(Tableau6[Jours Mois]&amp;"/"&amp;Tableau6[[#Headers],[2023]],tabSuiviConso[Jour Mois Année],0)</f>
        <v>#N/A</v>
      </c>
      <c r="K67" s="35" t="e">
        <f>Tableau6[[#This Row],[Cumul 2022]]-Tableau6[[#This Row],[Cumul 2021]]</f>
        <v>#N/A</v>
      </c>
      <c r="L67" s="37" t="e">
        <f>Tableau6[[#This Row],[Ecart 2021 2022]]/Tableau6[[#This Row],[Cumul 2021]]</f>
        <v>#N/A</v>
      </c>
      <c r="M67" s="35" t="str">
        <f>IF(ISNA(Tableau6[[#This Row],[Position 2023]]),"",INDEX(tabSuiviConso[HP + HC
cumul],Tableau6[[#This Row],[Position 2023]],1))</f>
        <v/>
      </c>
      <c r="N67" s="56" t="e">
        <f>IF(ISNA(Tableau6[[#This Row],[Position 2023]]),Tableau6[[#This Row],[Position 2023]],Tableau6[[#This Row],[2023]]-M$2)</f>
        <v>#N/A</v>
      </c>
      <c r="O67" s="35" t="e">
        <f>Tableau6[[#This Row],[Cumul 2023]]-Tableau6[[#This Row],[Cumul 2022]]</f>
        <v>#N/A</v>
      </c>
      <c r="P67" s="37" t="e">
        <f>Tableau6[[#This Row],[Ecart 2022 2023]]/Tableau6[[#This Row],[Cumul 2022]]</f>
        <v>#N/A</v>
      </c>
      <c r="Q67" s="35" t="e">
        <f>MATCH(Tableau6[Jours Mois]&amp;"/"&amp;Tableau6[[#Headers],[2024]],tabSuiviConso[Jour Mois Année],0)</f>
        <v>#N/A</v>
      </c>
      <c r="R67" s="35" t="str">
        <f>IF(ISNA(Tableau6[[#This Row],[Position 2024]]),"",INDEX(tabSuiviConso[HP + HC
cumul],Tableau6[[#This Row],[Position 2024]],1))</f>
        <v/>
      </c>
      <c r="S67" s="56" t="e">
        <f>IF(ISNA(Tableau6[[#This Row],[Position 2024]]),Tableau6[[#This Row],[Position 2024]],Tableau6[[#This Row],[2024]]-R$2)</f>
        <v>#N/A</v>
      </c>
      <c r="T67" s="35" t="e">
        <f>Tableau6[[#This Row],[Cumul 2024]]-Tableau6[[#This Row],[Cumul 2023]]</f>
        <v>#N/A</v>
      </c>
      <c r="U67" s="36" t="e">
        <f>Tableau6[[#This Row],[Ecart 2023 2024]]/Tableau6[[#This Row],[Cumul 2023]]</f>
        <v>#N/A</v>
      </c>
    </row>
    <row r="68" spans="1:21" x14ac:dyDescent="0.2">
      <c r="A68" s="35">
        <v>3</v>
      </c>
      <c r="B68" s="35">
        <v>6</v>
      </c>
      <c r="C68" s="35" t="str">
        <f>Tableau6[Jour]&amp;"/"&amp;Tableau6[Mois]</f>
        <v>6/3</v>
      </c>
      <c r="D68" s="35" t="e">
        <f>MATCH(Tableau6[Jours Mois]&amp;"/"&amp;Tableau6[[#Headers],[2021]],tabSuiviConso[Jour Mois Année],0)</f>
        <v>#N/A</v>
      </c>
      <c r="E68" s="35" t="str">
        <f>IF(ISNA(Tableau6[[#This Row],[Position 2021]]),"",INDEX(tabSuiviConso[HP + HC
cumul],Tableau6[[#This Row],[Position 2021]],1))</f>
        <v/>
      </c>
      <c r="F68" s="56" t="e">
        <f>IF(ISNA(Tableau6[[#This Row],[Position 2021]]),Tableau6[[#This Row],[Position 2021]],Tableau6[[#This Row],[2021]]-E$2)</f>
        <v>#N/A</v>
      </c>
      <c r="G68" s="35" t="e">
        <f>MATCH(Tableau6[Jours Mois]&amp;"/"&amp;Tableau6[[#Headers],[2022]],tabSuiviConso[Jour Mois Année],0)</f>
        <v>#N/A</v>
      </c>
      <c r="H68" s="35" t="str">
        <f>IF(ISNA(Tableau6[[#This Row],[Position 2022]]),"",INDEX(tabSuiviConso[HP + HC
cumul],Tableau6[[#This Row],[Position 2022]],1))</f>
        <v/>
      </c>
      <c r="I68" s="56" t="e">
        <f>IF(ISNA(Tableau6[[#This Row],[Position 2022]]),Tableau6[[#This Row],[Position 2022]],Tableau6[[#This Row],[2022]]-H$2)</f>
        <v>#N/A</v>
      </c>
      <c r="J68" s="35" t="e">
        <f>MATCH(Tableau6[Jours Mois]&amp;"/"&amp;Tableau6[[#Headers],[2023]],tabSuiviConso[Jour Mois Année],0)</f>
        <v>#N/A</v>
      </c>
      <c r="K68" s="35" t="e">
        <f>Tableau6[[#This Row],[Cumul 2022]]-Tableau6[[#This Row],[Cumul 2021]]</f>
        <v>#N/A</v>
      </c>
      <c r="L68" s="37" t="e">
        <f>Tableau6[[#This Row],[Ecart 2021 2022]]/Tableau6[[#This Row],[Cumul 2021]]</f>
        <v>#N/A</v>
      </c>
      <c r="M68" s="35" t="str">
        <f>IF(ISNA(Tableau6[[#This Row],[Position 2023]]),"",INDEX(tabSuiviConso[HP + HC
cumul],Tableau6[[#This Row],[Position 2023]],1))</f>
        <v/>
      </c>
      <c r="N68" s="56" t="e">
        <f>IF(ISNA(Tableau6[[#This Row],[Position 2023]]),Tableau6[[#This Row],[Position 2023]],Tableau6[[#This Row],[2023]]-M$2)</f>
        <v>#N/A</v>
      </c>
      <c r="O68" s="35" t="e">
        <f>Tableau6[[#This Row],[Cumul 2023]]-Tableau6[[#This Row],[Cumul 2022]]</f>
        <v>#N/A</v>
      </c>
      <c r="P68" s="37" t="e">
        <f>Tableau6[[#This Row],[Ecart 2022 2023]]/Tableau6[[#This Row],[Cumul 2022]]</f>
        <v>#N/A</v>
      </c>
      <c r="Q68" s="35" t="e">
        <f>MATCH(Tableau6[Jours Mois]&amp;"/"&amp;Tableau6[[#Headers],[2024]],tabSuiviConso[Jour Mois Année],0)</f>
        <v>#N/A</v>
      </c>
      <c r="R68" s="35" t="str">
        <f>IF(ISNA(Tableau6[[#This Row],[Position 2024]]),"",INDEX(tabSuiviConso[HP + HC
cumul],Tableau6[[#This Row],[Position 2024]],1))</f>
        <v/>
      </c>
      <c r="S68" s="56" t="e">
        <f>IF(ISNA(Tableau6[[#This Row],[Position 2024]]),Tableau6[[#This Row],[Position 2024]],Tableau6[[#This Row],[2024]]-R$2)</f>
        <v>#N/A</v>
      </c>
      <c r="T68" s="35" t="e">
        <f>Tableau6[[#This Row],[Cumul 2024]]-Tableau6[[#This Row],[Cumul 2023]]</f>
        <v>#N/A</v>
      </c>
      <c r="U68" s="36" t="e">
        <f>Tableau6[[#This Row],[Ecart 2023 2024]]/Tableau6[[#This Row],[Cumul 2023]]</f>
        <v>#N/A</v>
      </c>
    </row>
    <row r="69" spans="1:21" x14ac:dyDescent="0.2">
      <c r="A69" s="35">
        <v>3</v>
      </c>
      <c r="B69" s="35">
        <v>7</v>
      </c>
      <c r="C69" s="35" t="str">
        <f>Tableau6[Jour]&amp;"/"&amp;Tableau6[Mois]</f>
        <v>7/3</v>
      </c>
      <c r="D69" s="35" t="e">
        <f>MATCH(Tableau6[Jours Mois]&amp;"/"&amp;Tableau6[[#Headers],[2021]],tabSuiviConso[Jour Mois Année],0)</f>
        <v>#N/A</v>
      </c>
      <c r="E69" s="35" t="str">
        <f>IF(ISNA(Tableau6[[#This Row],[Position 2021]]),"",INDEX(tabSuiviConso[HP + HC
cumul],Tableau6[[#This Row],[Position 2021]],1))</f>
        <v/>
      </c>
      <c r="F69" s="56" t="e">
        <f>IF(ISNA(Tableau6[[#This Row],[Position 2021]]),Tableau6[[#This Row],[Position 2021]],Tableau6[[#This Row],[2021]]-E$2)</f>
        <v>#N/A</v>
      </c>
      <c r="G69" s="35" t="e">
        <f>MATCH(Tableau6[Jours Mois]&amp;"/"&amp;Tableau6[[#Headers],[2022]],tabSuiviConso[Jour Mois Année],0)</f>
        <v>#N/A</v>
      </c>
      <c r="H69" s="35" t="str">
        <f>IF(ISNA(Tableau6[[#This Row],[Position 2022]]),"",INDEX(tabSuiviConso[HP + HC
cumul],Tableau6[[#This Row],[Position 2022]],1))</f>
        <v/>
      </c>
      <c r="I69" s="56" t="e">
        <f>IF(ISNA(Tableau6[[#This Row],[Position 2022]]),Tableau6[[#This Row],[Position 2022]],Tableau6[[#This Row],[2022]]-H$2)</f>
        <v>#N/A</v>
      </c>
      <c r="J69" s="35" t="e">
        <f>MATCH(Tableau6[Jours Mois]&amp;"/"&amp;Tableau6[[#Headers],[2023]],tabSuiviConso[Jour Mois Année],0)</f>
        <v>#N/A</v>
      </c>
      <c r="K69" s="35" t="e">
        <f>Tableau6[[#This Row],[Cumul 2022]]-Tableau6[[#This Row],[Cumul 2021]]</f>
        <v>#N/A</v>
      </c>
      <c r="L69" s="37" t="e">
        <f>Tableau6[[#This Row],[Ecart 2021 2022]]/Tableau6[[#This Row],[Cumul 2021]]</f>
        <v>#N/A</v>
      </c>
      <c r="M69" s="35" t="str">
        <f>IF(ISNA(Tableau6[[#This Row],[Position 2023]]),"",INDEX(tabSuiviConso[HP + HC
cumul],Tableau6[[#This Row],[Position 2023]],1))</f>
        <v/>
      </c>
      <c r="N69" s="56" t="e">
        <f>IF(ISNA(Tableau6[[#This Row],[Position 2023]]),Tableau6[[#This Row],[Position 2023]],Tableau6[[#This Row],[2023]]-M$2)</f>
        <v>#N/A</v>
      </c>
      <c r="O69" s="35" t="e">
        <f>Tableau6[[#This Row],[Cumul 2023]]-Tableau6[[#This Row],[Cumul 2022]]</f>
        <v>#N/A</v>
      </c>
      <c r="P69" s="37" t="e">
        <f>Tableau6[[#This Row],[Ecart 2022 2023]]/Tableau6[[#This Row],[Cumul 2022]]</f>
        <v>#N/A</v>
      </c>
      <c r="Q69" s="35" t="e">
        <f>MATCH(Tableau6[Jours Mois]&amp;"/"&amp;Tableau6[[#Headers],[2024]],tabSuiviConso[Jour Mois Année],0)</f>
        <v>#N/A</v>
      </c>
      <c r="R69" s="35" t="str">
        <f>IF(ISNA(Tableau6[[#This Row],[Position 2024]]),"",INDEX(tabSuiviConso[HP + HC
cumul],Tableau6[[#This Row],[Position 2024]],1))</f>
        <v/>
      </c>
      <c r="S69" s="56" t="e">
        <f>IF(ISNA(Tableau6[[#This Row],[Position 2024]]),Tableau6[[#This Row],[Position 2024]],Tableau6[[#This Row],[2024]]-R$2)</f>
        <v>#N/A</v>
      </c>
      <c r="T69" s="35" t="e">
        <f>Tableau6[[#This Row],[Cumul 2024]]-Tableau6[[#This Row],[Cumul 2023]]</f>
        <v>#N/A</v>
      </c>
      <c r="U69" s="36" t="e">
        <f>Tableau6[[#This Row],[Ecart 2023 2024]]/Tableau6[[#This Row],[Cumul 2023]]</f>
        <v>#N/A</v>
      </c>
    </row>
    <row r="70" spans="1:21" x14ac:dyDescent="0.2">
      <c r="A70" s="35">
        <v>3</v>
      </c>
      <c r="B70" s="35">
        <v>8</v>
      </c>
      <c r="C70" s="35" t="str">
        <f>Tableau6[Jour]&amp;"/"&amp;Tableau6[Mois]</f>
        <v>8/3</v>
      </c>
      <c r="D70" s="35" t="e">
        <f>MATCH(Tableau6[Jours Mois]&amp;"/"&amp;Tableau6[[#Headers],[2021]],tabSuiviConso[Jour Mois Année],0)</f>
        <v>#N/A</v>
      </c>
      <c r="E70" s="35" t="str">
        <f>IF(ISNA(Tableau6[[#This Row],[Position 2021]]),"",INDEX(tabSuiviConso[HP + HC
cumul],Tableau6[[#This Row],[Position 2021]],1))</f>
        <v/>
      </c>
      <c r="F70" s="56" t="e">
        <f>IF(ISNA(Tableau6[[#This Row],[Position 2021]]),Tableau6[[#This Row],[Position 2021]],Tableau6[[#This Row],[2021]]-E$2)</f>
        <v>#N/A</v>
      </c>
      <c r="G70" s="35" t="e">
        <f>MATCH(Tableau6[Jours Mois]&amp;"/"&amp;Tableau6[[#Headers],[2022]],tabSuiviConso[Jour Mois Année],0)</f>
        <v>#N/A</v>
      </c>
      <c r="H70" s="35" t="str">
        <f>IF(ISNA(Tableau6[[#This Row],[Position 2022]]),"",INDEX(tabSuiviConso[HP + HC
cumul],Tableau6[[#This Row],[Position 2022]],1))</f>
        <v/>
      </c>
      <c r="I70" s="56" t="e">
        <f>IF(ISNA(Tableau6[[#This Row],[Position 2022]]),Tableau6[[#This Row],[Position 2022]],Tableau6[[#This Row],[2022]]-H$2)</f>
        <v>#N/A</v>
      </c>
      <c r="J70" s="35" t="e">
        <f>MATCH(Tableau6[Jours Mois]&amp;"/"&amp;Tableau6[[#Headers],[2023]],tabSuiviConso[Jour Mois Année],0)</f>
        <v>#N/A</v>
      </c>
      <c r="K70" s="35" t="e">
        <f>Tableau6[[#This Row],[Cumul 2022]]-Tableau6[[#This Row],[Cumul 2021]]</f>
        <v>#N/A</v>
      </c>
      <c r="L70" s="37" t="e">
        <f>Tableau6[[#This Row],[Ecart 2021 2022]]/Tableau6[[#This Row],[Cumul 2021]]</f>
        <v>#N/A</v>
      </c>
      <c r="M70" s="35" t="str">
        <f>IF(ISNA(Tableau6[[#This Row],[Position 2023]]),"",INDEX(tabSuiviConso[HP + HC
cumul],Tableau6[[#This Row],[Position 2023]],1))</f>
        <v/>
      </c>
      <c r="N70" s="56" t="e">
        <f>IF(ISNA(Tableau6[[#This Row],[Position 2023]]),Tableau6[[#This Row],[Position 2023]],Tableau6[[#This Row],[2023]]-M$2)</f>
        <v>#N/A</v>
      </c>
      <c r="O70" s="35" t="e">
        <f>Tableau6[[#This Row],[Cumul 2023]]-Tableau6[[#This Row],[Cumul 2022]]</f>
        <v>#N/A</v>
      </c>
      <c r="P70" s="37" t="e">
        <f>Tableau6[[#This Row],[Ecart 2022 2023]]/Tableau6[[#This Row],[Cumul 2022]]</f>
        <v>#N/A</v>
      </c>
      <c r="Q70" s="35" t="e">
        <f>MATCH(Tableau6[Jours Mois]&amp;"/"&amp;Tableau6[[#Headers],[2024]],tabSuiviConso[Jour Mois Année],0)</f>
        <v>#N/A</v>
      </c>
      <c r="R70" s="35" t="str">
        <f>IF(ISNA(Tableau6[[#This Row],[Position 2024]]),"",INDEX(tabSuiviConso[HP + HC
cumul],Tableau6[[#This Row],[Position 2024]],1))</f>
        <v/>
      </c>
      <c r="S70" s="56" t="e">
        <f>IF(ISNA(Tableau6[[#This Row],[Position 2024]]),Tableau6[[#This Row],[Position 2024]],Tableau6[[#This Row],[2024]]-R$2)</f>
        <v>#N/A</v>
      </c>
      <c r="T70" s="35" t="e">
        <f>Tableau6[[#This Row],[Cumul 2024]]-Tableau6[[#This Row],[Cumul 2023]]</f>
        <v>#N/A</v>
      </c>
      <c r="U70" s="36" t="e">
        <f>Tableau6[[#This Row],[Ecart 2023 2024]]/Tableau6[[#This Row],[Cumul 2023]]</f>
        <v>#N/A</v>
      </c>
    </row>
    <row r="71" spans="1:21" x14ac:dyDescent="0.2">
      <c r="A71" s="35">
        <v>3</v>
      </c>
      <c r="B71" s="35">
        <v>9</v>
      </c>
      <c r="C71" s="35" t="str">
        <f>Tableau6[Jour]&amp;"/"&amp;Tableau6[Mois]</f>
        <v>9/3</v>
      </c>
      <c r="D71" s="35" t="e">
        <f>MATCH(Tableau6[Jours Mois]&amp;"/"&amp;Tableau6[[#Headers],[2021]],tabSuiviConso[Jour Mois Année],0)</f>
        <v>#N/A</v>
      </c>
      <c r="E71" s="35" t="str">
        <f>IF(ISNA(Tableau6[[#This Row],[Position 2021]]),"",INDEX(tabSuiviConso[HP + HC
cumul],Tableau6[[#This Row],[Position 2021]],1))</f>
        <v/>
      </c>
      <c r="F71" s="56" t="e">
        <f>IF(ISNA(Tableau6[[#This Row],[Position 2021]]),Tableau6[[#This Row],[Position 2021]],Tableau6[[#This Row],[2021]]-E$2)</f>
        <v>#N/A</v>
      </c>
      <c r="G71" s="35" t="e">
        <f>MATCH(Tableau6[Jours Mois]&amp;"/"&amp;Tableau6[[#Headers],[2022]],tabSuiviConso[Jour Mois Année],0)</f>
        <v>#N/A</v>
      </c>
      <c r="H71" s="35" t="str">
        <f>IF(ISNA(Tableau6[[#This Row],[Position 2022]]),"",INDEX(tabSuiviConso[HP + HC
cumul],Tableau6[[#This Row],[Position 2022]],1))</f>
        <v/>
      </c>
      <c r="I71" s="56" t="e">
        <f>IF(ISNA(Tableau6[[#This Row],[Position 2022]]),Tableau6[[#This Row],[Position 2022]],Tableau6[[#This Row],[2022]]-H$2)</f>
        <v>#N/A</v>
      </c>
      <c r="J71" s="35" t="e">
        <f>MATCH(Tableau6[Jours Mois]&amp;"/"&amp;Tableau6[[#Headers],[2023]],tabSuiviConso[Jour Mois Année],0)</f>
        <v>#N/A</v>
      </c>
      <c r="K71" s="35" t="e">
        <f>Tableau6[[#This Row],[Cumul 2022]]-Tableau6[[#This Row],[Cumul 2021]]</f>
        <v>#N/A</v>
      </c>
      <c r="L71" s="37" t="e">
        <f>Tableau6[[#This Row],[Ecart 2021 2022]]/Tableau6[[#This Row],[Cumul 2021]]</f>
        <v>#N/A</v>
      </c>
      <c r="M71" s="35" t="str">
        <f>IF(ISNA(Tableau6[[#This Row],[Position 2023]]),"",INDEX(tabSuiviConso[HP + HC
cumul],Tableau6[[#This Row],[Position 2023]],1))</f>
        <v/>
      </c>
      <c r="N71" s="56" t="e">
        <f>IF(ISNA(Tableau6[[#This Row],[Position 2023]]),Tableau6[[#This Row],[Position 2023]],Tableau6[[#This Row],[2023]]-M$2)</f>
        <v>#N/A</v>
      </c>
      <c r="O71" s="35" t="e">
        <f>Tableau6[[#This Row],[Cumul 2023]]-Tableau6[[#This Row],[Cumul 2022]]</f>
        <v>#N/A</v>
      </c>
      <c r="P71" s="37" t="e">
        <f>Tableau6[[#This Row],[Ecart 2022 2023]]/Tableau6[[#This Row],[Cumul 2022]]</f>
        <v>#N/A</v>
      </c>
      <c r="Q71" s="35" t="e">
        <f>MATCH(Tableau6[Jours Mois]&amp;"/"&amp;Tableau6[[#Headers],[2024]],tabSuiviConso[Jour Mois Année],0)</f>
        <v>#N/A</v>
      </c>
      <c r="R71" s="35" t="str">
        <f>IF(ISNA(Tableau6[[#This Row],[Position 2024]]),"",INDEX(tabSuiviConso[HP + HC
cumul],Tableau6[[#This Row],[Position 2024]],1))</f>
        <v/>
      </c>
      <c r="S71" s="56" t="e">
        <f>IF(ISNA(Tableau6[[#This Row],[Position 2024]]),Tableau6[[#This Row],[Position 2024]],Tableau6[[#This Row],[2024]]-R$2)</f>
        <v>#N/A</v>
      </c>
      <c r="T71" s="35" t="e">
        <f>Tableau6[[#This Row],[Cumul 2024]]-Tableau6[[#This Row],[Cumul 2023]]</f>
        <v>#N/A</v>
      </c>
      <c r="U71" s="36" t="e">
        <f>Tableau6[[#This Row],[Ecart 2023 2024]]/Tableau6[[#This Row],[Cumul 2023]]</f>
        <v>#N/A</v>
      </c>
    </row>
    <row r="72" spans="1:21" x14ac:dyDescent="0.2">
      <c r="A72" s="35">
        <v>3</v>
      </c>
      <c r="B72" s="35">
        <v>10</v>
      </c>
      <c r="C72" s="35" t="str">
        <f>Tableau6[Jour]&amp;"/"&amp;Tableau6[Mois]</f>
        <v>10/3</v>
      </c>
      <c r="D72" s="35" t="e">
        <f>MATCH(Tableau6[Jours Mois]&amp;"/"&amp;Tableau6[[#Headers],[2021]],tabSuiviConso[Jour Mois Année],0)</f>
        <v>#N/A</v>
      </c>
      <c r="E72" s="35" t="str">
        <f>IF(ISNA(Tableau6[[#This Row],[Position 2021]]),"",INDEX(tabSuiviConso[HP + HC
cumul],Tableau6[[#This Row],[Position 2021]],1))</f>
        <v/>
      </c>
      <c r="F72" s="56" t="e">
        <f>IF(ISNA(Tableau6[[#This Row],[Position 2021]]),Tableau6[[#This Row],[Position 2021]],Tableau6[[#This Row],[2021]]-E$2)</f>
        <v>#N/A</v>
      </c>
      <c r="G72" s="35" t="e">
        <f>MATCH(Tableau6[Jours Mois]&amp;"/"&amp;Tableau6[[#Headers],[2022]],tabSuiviConso[Jour Mois Année],0)</f>
        <v>#N/A</v>
      </c>
      <c r="H72" s="35" t="str">
        <f>IF(ISNA(Tableau6[[#This Row],[Position 2022]]),"",INDEX(tabSuiviConso[HP + HC
cumul],Tableau6[[#This Row],[Position 2022]],1))</f>
        <v/>
      </c>
      <c r="I72" s="56" t="e">
        <f>IF(ISNA(Tableau6[[#This Row],[Position 2022]]),Tableau6[[#This Row],[Position 2022]],Tableau6[[#This Row],[2022]]-H$2)</f>
        <v>#N/A</v>
      </c>
      <c r="J72" s="35" t="e">
        <f>MATCH(Tableau6[Jours Mois]&amp;"/"&amp;Tableau6[[#Headers],[2023]],tabSuiviConso[Jour Mois Année],0)</f>
        <v>#N/A</v>
      </c>
      <c r="K72" s="35" t="e">
        <f>Tableau6[[#This Row],[Cumul 2022]]-Tableau6[[#This Row],[Cumul 2021]]</f>
        <v>#N/A</v>
      </c>
      <c r="L72" s="37" t="e">
        <f>Tableau6[[#This Row],[Ecart 2021 2022]]/Tableau6[[#This Row],[Cumul 2021]]</f>
        <v>#N/A</v>
      </c>
      <c r="M72" s="35" t="str">
        <f>IF(ISNA(Tableau6[[#This Row],[Position 2023]]),"",INDEX(tabSuiviConso[HP + HC
cumul],Tableau6[[#This Row],[Position 2023]],1))</f>
        <v/>
      </c>
      <c r="N72" s="56" t="e">
        <f>IF(ISNA(Tableau6[[#This Row],[Position 2023]]),Tableau6[[#This Row],[Position 2023]],Tableau6[[#This Row],[2023]]-M$2)</f>
        <v>#N/A</v>
      </c>
      <c r="O72" s="35" t="e">
        <f>Tableau6[[#This Row],[Cumul 2023]]-Tableau6[[#This Row],[Cumul 2022]]</f>
        <v>#N/A</v>
      </c>
      <c r="P72" s="37" t="e">
        <f>Tableau6[[#This Row],[Ecart 2022 2023]]/Tableau6[[#This Row],[Cumul 2022]]</f>
        <v>#N/A</v>
      </c>
      <c r="Q72" s="35" t="e">
        <f>MATCH(Tableau6[Jours Mois]&amp;"/"&amp;Tableau6[[#Headers],[2024]],tabSuiviConso[Jour Mois Année],0)</f>
        <v>#N/A</v>
      </c>
      <c r="R72" s="35" t="str">
        <f>IF(ISNA(Tableau6[[#This Row],[Position 2024]]),"",INDEX(tabSuiviConso[HP + HC
cumul],Tableau6[[#This Row],[Position 2024]],1))</f>
        <v/>
      </c>
      <c r="S72" s="56" t="e">
        <f>IF(ISNA(Tableau6[[#This Row],[Position 2024]]),Tableau6[[#This Row],[Position 2024]],Tableau6[[#This Row],[2024]]-R$2)</f>
        <v>#N/A</v>
      </c>
      <c r="T72" s="35" t="e">
        <f>Tableau6[[#This Row],[Cumul 2024]]-Tableau6[[#This Row],[Cumul 2023]]</f>
        <v>#N/A</v>
      </c>
      <c r="U72" s="36" t="e">
        <f>Tableau6[[#This Row],[Ecart 2023 2024]]/Tableau6[[#This Row],[Cumul 2023]]</f>
        <v>#N/A</v>
      </c>
    </row>
    <row r="73" spans="1:21" x14ac:dyDescent="0.2">
      <c r="A73" s="35">
        <v>3</v>
      </c>
      <c r="B73" s="35">
        <v>11</v>
      </c>
      <c r="C73" s="35" t="str">
        <f>Tableau6[Jour]&amp;"/"&amp;Tableau6[Mois]</f>
        <v>11/3</v>
      </c>
      <c r="D73" s="35" t="e">
        <f>MATCH(Tableau6[Jours Mois]&amp;"/"&amp;Tableau6[[#Headers],[2021]],tabSuiviConso[Jour Mois Année],0)</f>
        <v>#N/A</v>
      </c>
      <c r="E73" s="35" t="str">
        <f>IF(ISNA(Tableau6[[#This Row],[Position 2021]]),"",INDEX(tabSuiviConso[HP + HC
cumul],Tableau6[[#This Row],[Position 2021]],1))</f>
        <v/>
      </c>
      <c r="F73" s="56" t="e">
        <f>IF(ISNA(Tableau6[[#This Row],[Position 2021]]),Tableau6[[#This Row],[Position 2021]],Tableau6[[#This Row],[2021]]-E$2)</f>
        <v>#N/A</v>
      </c>
      <c r="G73" s="35" t="e">
        <f>MATCH(Tableau6[Jours Mois]&amp;"/"&amp;Tableau6[[#Headers],[2022]],tabSuiviConso[Jour Mois Année],0)</f>
        <v>#N/A</v>
      </c>
      <c r="H73" s="35" t="str">
        <f>IF(ISNA(Tableau6[[#This Row],[Position 2022]]),"",INDEX(tabSuiviConso[HP + HC
cumul],Tableau6[[#This Row],[Position 2022]],1))</f>
        <v/>
      </c>
      <c r="I73" s="56" t="e">
        <f>IF(ISNA(Tableau6[[#This Row],[Position 2022]]),Tableau6[[#This Row],[Position 2022]],Tableau6[[#This Row],[2022]]-H$2)</f>
        <v>#N/A</v>
      </c>
      <c r="J73" s="35" t="e">
        <f>MATCH(Tableau6[Jours Mois]&amp;"/"&amp;Tableau6[[#Headers],[2023]],tabSuiviConso[Jour Mois Année],0)</f>
        <v>#N/A</v>
      </c>
      <c r="K73" s="35" t="e">
        <f>Tableau6[[#This Row],[Cumul 2022]]-Tableau6[[#This Row],[Cumul 2021]]</f>
        <v>#N/A</v>
      </c>
      <c r="L73" s="37" t="e">
        <f>Tableau6[[#This Row],[Ecart 2021 2022]]/Tableau6[[#This Row],[Cumul 2021]]</f>
        <v>#N/A</v>
      </c>
      <c r="M73" s="35" t="str">
        <f>IF(ISNA(Tableau6[[#This Row],[Position 2023]]),"",INDEX(tabSuiviConso[HP + HC
cumul],Tableau6[[#This Row],[Position 2023]],1))</f>
        <v/>
      </c>
      <c r="N73" s="56" t="e">
        <f>IF(ISNA(Tableau6[[#This Row],[Position 2023]]),Tableau6[[#This Row],[Position 2023]],Tableau6[[#This Row],[2023]]-M$2)</f>
        <v>#N/A</v>
      </c>
      <c r="O73" s="35" t="e">
        <f>Tableau6[[#This Row],[Cumul 2023]]-Tableau6[[#This Row],[Cumul 2022]]</f>
        <v>#N/A</v>
      </c>
      <c r="P73" s="37" t="e">
        <f>Tableau6[[#This Row],[Ecart 2022 2023]]/Tableau6[[#This Row],[Cumul 2022]]</f>
        <v>#N/A</v>
      </c>
      <c r="Q73" s="35" t="e">
        <f>MATCH(Tableau6[Jours Mois]&amp;"/"&amp;Tableau6[[#Headers],[2024]],tabSuiviConso[Jour Mois Année],0)</f>
        <v>#N/A</v>
      </c>
      <c r="R73" s="35" t="str">
        <f>IF(ISNA(Tableau6[[#This Row],[Position 2024]]),"",INDEX(tabSuiviConso[HP + HC
cumul],Tableau6[[#This Row],[Position 2024]],1))</f>
        <v/>
      </c>
      <c r="S73" s="56" t="e">
        <f>IF(ISNA(Tableau6[[#This Row],[Position 2024]]),Tableau6[[#This Row],[Position 2024]],Tableau6[[#This Row],[2024]]-R$2)</f>
        <v>#N/A</v>
      </c>
      <c r="T73" s="35" t="e">
        <f>Tableau6[[#This Row],[Cumul 2024]]-Tableau6[[#This Row],[Cumul 2023]]</f>
        <v>#N/A</v>
      </c>
      <c r="U73" s="36" t="e">
        <f>Tableau6[[#This Row],[Ecart 2023 2024]]/Tableau6[[#This Row],[Cumul 2023]]</f>
        <v>#N/A</v>
      </c>
    </row>
    <row r="74" spans="1:21" x14ac:dyDescent="0.2">
      <c r="A74" s="35">
        <v>3</v>
      </c>
      <c r="B74" s="35">
        <v>12</v>
      </c>
      <c r="C74" s="35" t="str">
        <f>Tableau6[Jour]&amp;"/"&amp;Tableau6[Mois]</f>
        <v>12/3</v>
      </c>
      <c r="D74" s="35" t="e">
        <f>MATCH(Tableau6[Jours Mois]&amp;"/"&amp;Tableau6[[#Headers],[2021]],tabSuiviConso[Jour Mois Année],0)</f>
        <v>#N/A</v>
      </c>
      <c r="E74" s="35" t="str">
        <f>IF(ISNA(Tableau6[[#This Row],[Position 2021]]),"",INDEX(tabSuiviConso[HP + HC
cumul],Tableau6[[#This Row],[Position 2021]],1))</f>
        <v/>
      </c>
      <c r="F74" s="56" t="e">
        <f>IF(ISNA(Tableau6[[#This Row],[Position 2021]]),Tableau6[[#This Row],[Position 2021]],Tableau6[[#This Row],[2021]]-E$2)</f>
        <v>#N/A</v>
      </c>
      <c r="G74" s="35" t="e">
        <f>MATCH(Tableau6[Jours Mois]&amp;"/"&amp;Tableau6[[#Headers],[2022]],tabSuiviConso[Jour Mois Année],0)</f>
        <v>#N/A</v>
      </c>
      <c r="H74" s="35" t="str">
        <f>IF(ISNA(Tableau6[[#This Row],[Position 2022]]),"",INDEX(tabSuiviConso[HP + HC
cumul],Tableau6[[#This Row],[Position 2022]],1))</f>
        <v/>
      </c>
      <c r="I74" s="56" t="e">
        <f>IF(ISNA(Tableau6[[#This Row],[Position 2022]]),Tableau6[[#This Row],[Position 2022]],Tableau6[[#This Row],[2022]]-H$2)</f>
        <v>#N/A</v>
      </c>
      <c r="J74" s="35" t="e">
        <f>MATCH(Tableau6[Jours Mois]&amp;"/"&amp;Tableau6[[#Headers],[2023]],tabSuiviConso[Jour Mois Année],0)</f>
        <v>#N/A</v>
      </c>
      <c r="K74" s="35" t="e">
        <f>Tableau6[[#This Row],[Cumul 2022]]-Tableau6[[#This Row],[Cumul 2021]]</f>
        <v>#N/A</v>
      </c>
      <c r="L74" s="37" t="e">
        <f>Tableau6[[#This Row],[Ecart 2021 2022]]/Tableau6[[#This Row],[Cumul 2021]]</f>
        <v>#N/A</v>
      </c>
      <c r="M74" s="35" t="str">
        <f>IF(ISNA(Tableau6[[#This Row],[Position 2023]]),"",INDEX(tabSuiviConso[HP + HC
cumul],Tableau6[[#This Row],[Position 2023]],1))</f>
        <v/>
      </c>
      <c r="N74" s="56" t="e">
        <f>IF(ISNA(Tableau6[[#This Row],[Position 2023]]),Tableau6[[#This Row],[Position 2023]],Tableau6[[#This Row],[2023]]-M$2)</f>
        <v>#N/A</v>
      </c>
      <c r="O74" s="35" t="e">
        <f>Tableau6[[#This Row],[Cumul 2023]]-Tableau6[[#This Row],[Cumul 2022]]</f>
        <v>#N/A</v>
      </c>
      <c r="P74" s="37" t="e">
        <f>Tableau6[[#This Row],[Ecart 2022 2023]]/Tableau6[[#This Row],[Cumul 2022]]</f>
        <v>#N/A</v>
      </c>
      <c r="Q74" s="35" t="e">
        <f>MATCH(Tableau6[Jours Mois]&amp;"/"&amp;Tableau6[[#Headers],[2024]],tabSuiviConso[Jour Mois Année],0)</f>
        <v>#N/A</v>
      </c>
      <c r="R74" s="35" t="str">
        <f>IF(ISNA(Tableau6[[#This Row],[Position 2024]]),"",INDEX(tabSuiviConso[HP + HC
cumul],Tableau6[[#This Row],[Position 2024]],1))</f>
        <v/>
      </c>
      <c r="S74" s="56" t="e">
        <f>IF(ISNA(Tableau6[[#This Row],[Position 2024]]),Tableau6[[#This Row],[Position 2024]],Tableau6[[#This Row],[2024]]-R$2)</f>
        <v>#N/A</v>
      </c>
      <c r="T74" s="35" t="e">
        <f>Tableau6[[#This Row],[Cumul 2024]]-Tableau6[[#This Row],[Cumul 2023]]</f>
        <v>#N/A</v>
      </c>
      <c r="U74" s="36" t="e">
        <f>Tableau6[[#This Row],[Ecart 2023 2024]]/Tableau6[[#This Row],[Cumul 2023]]</f>
        <v>#N/A</v>
      </c>
    </row>
    <row r="75" spans="1:21" x14ac:dyDescent="0.2">
      <c r="A75" s="35">
        <v>3</v>
      </c>
      <c r="B75" s="35">
        <v>13</v>
      </c>
      <c r="C75" s="35" t="str">
        <f>Tableau6[Jour]&amp;"/"&amp;Tableau6[Mois]</f>
        <v>13/3</v>
      </c>
      <c r="D75" s="35" t="e">
        <f>MATCH(Tableau6[Jours Mois]&amp;"/"&amp;Tableau6[[#Headers],[2021]],tabSuiviConso[Jour Mois Année],0)</f>
        <v>#N/A</v>
      </c>
      <c r="E75" s="35" t="str">
        <f>IF(ISNA(Tableau6[[#This Row],[Position 2021]]),"",INDEX(tabSuiviConso[HP + HC
cumul],Tableau6[[#This Row],[Position 2021]],1))</f>
        <v/>
      </c>
      <c r="F75" s="56" t="e">
        <f>IF(ISNA(Tableau6[[#This Row],[Position 2021]]),Tableau6[[#This Row],[Position 2021]],Tableau6[[#This Row],[2021]]-E$2)</f>
        <v>#N/A</v>
      </c>
      <c r="G75" s="35" t="e">
        <f>MATCH(Tableau6[Jours Mois]&amp;"/"&amp;Tableau6[[#Headers],[2022]],tabSuiviConso[Jour Mois Année],0)</f>
        <v>#N/A</v>
      </c>
      <c r="H75" s="35" t="str">
        <f>IF(ISNA(Tableau6[[#This Row],[Position 2022]]),"",INDEX(tabSuiviConso[HP + HC
cumul],Tableau6[[#This Row],[Position 2022]],1))</f>
        <v/>
      </c>
      <c r="I75" s="56" t="e">
        <f>IF(ISNA(Tableau6[[#This Row],[Position 2022]]),Tableau6[[#This Row],[Position 2022]],Tableau6[[#This Row],[2022]]-H$2)</f>
        <v>#N/A</v>
      </c>
      <c r="J75" s="35" t="e">
        <f>MATCH(Tableau6[Jours Mois]&amp;"/"&amp;Tableau6[[#Headers],[2023]],tabSuiviConso[Jour Mois Année],0)</f>
        <v>#N/A</v>
      </c>
      <c r="K75" s="35" t="e">
        <f>Tableau6[[#This Row],[Cumul 2022]]-Tableau6[[#This Row],[Cumul 2021]]</f>
        <v>#N/A</v>
      </c>
      <c r="L75" s="37" t="e">
        <f>Tableau6[[#This Row],[Ecart 2021 2022]]/Tableau6[[#This Row],[Cumul 2021]]</f>
        <v>#N/A</v>
      </c>
      <c r="M75" s="35" t="str">
        <f>IF(ISNA(Tableau6[[#This Row],[Position 2023]]),"",INDEX(tabSuiviConso[HP + HC
cumul],Tableau6[[#This Row],[Position 2023]],1))</f>
        <v/>
      </c>
      <c r="N75" s="56" t="e">
        <f>IF(ISNA(Tableau6[[#This Row],[Position 2023]]),Tableau6[[#This Row],[Position 2023]],Tableau6[[#This Row],[2023]]-M$2)</f>
        <v>#N/A</v>
      </c>
      <c r="O75" s="35" t="e">
        <f>Tableau6[[#This Row],[Cumul 2023]]-Tableau6[[#This Row],[Cumul 2022]]</f>
        <v>#N/A</v>
      </c>
      <c r="P75" s="37" t="e">
        <f>Tableau6[[#This Row],[Ecart 2022 2023]]/Tableau6[[#This Row],[Cumul 2022]]</f>
        <v>#N/A</v>
      </c>
      <c r="Q75" s="35" t="e">
        <f>MATCH(Tableau6[Jours Mois]&amp;"/"&amp;Tableau6[[#Headers],[2024]],tabSuiviConso[Jour Mois Année],0)</f>
        <v>#N/A</v>
      </c>
      <c r="R75" s="35" t="str">
        <f>IF(ISNA(Tableau6[[#This Row],[Position 2024]]),"",INDEX(tabSuiviConso[HP + HC
cumul],Tableau6[[#This Row],[Position 2024]],1))</f>
        <v/>
      </c>
      <c r="S75" s="56" t="e">
        <f>IF(ISNA(Tableau6[[#This Row],[Position 2024]]),Tableau6[[#This Row],[Position 2024]],Tableau6[[#This Row],[2024]]-R$2)</f>
        <v>#N/A</v>
      </c>
      <c r="T75" s="35" t="e">
        <f>Tableau6[[#This Row],[Cumul 2024]]-Tableau6[[#This Row],[Cumul 2023]]</f>
        <v>#N/A</v>
      </c>
      <c r="U75" s="36" t="e">
        <f>Tableau6[[#This Row],[Ecart 2023 2024]]/Tableau6[[#This Row],[Cumul 2023]]</f>
        <v>#N/A</v>
      </c>
    </row>
    <row r="76" spans="1:21" x14ac:dyDescent="0.2">
      <c r="A76" s="35">
        <v>3</v>
      </c>
      <c r="B76" s="35">
        <v>14</v>
      </c>
      <c r="C76" s="35" t="str">
        <f>Tableau6[Jour]&amp;"/"&amp;Tableau6[Mois]</f>
        <v>14/3</v>
      </c>
      <c r="D76" s="35" t="e">
        <f>MATCH(Tableau6[Jours Mois]&amp;"/"&amp;Tableau6[[#Headers],[2021]],tabSuiviConso[Jour Mois Année],0)</f>
        <v>#N/A</v>
      </c>
      <c r="E76" s="35" t="str">
        <f>IF(ISNA(Tableau6[[#This Row],[Position 2021]]),"",INDEX(tabSuiviConso[HP + HC
cumul],Tableau6[[#This Row],[Position 2021]],1))</f>
        <v/>
      </c>
      <c r="F76" s="56" t="e">
        <f>IF(ISNA(Tableau6[[#This Row],[Position 2021]]),Tableau6[[#This Row],[Position 2021]],Tableau6[[#This Row],[2021]]-E$2)</f>
        <v>#N/A</v>
      </c>
      <c r="G76" s="35" t="e">
        <f>MATCH(Tableau6[Jours Mois]&amp;"/"&amp;Tableau6[[#Headers],[2022]],tabSuiviConso[Jour Mois Année],0)</f>
        <v>#N/A</v>
      </c>
      <c r="H76" s="35" t="str">
        <f>IF(ISNA(Tableau6[[#This Row],[Position 2022]]),"",INDEX(tabSuiviConso[HP + HC
cumul],Tableau6[[#This Row],[Position 2022]],1))</f>
        <v/>
      </c>
      <c r="I76" s="56" t="e">
        <f>IF(ISNA(Tableau6[[#This Row],[Position 2022]]),Tableau6[[#This Row],[Position 2022]],Tableau6[[#This Row],[2022]]-H$2)</f>
        <v>#N/A</v>
      </c>
      <c r="J76" s="35" t="e">
        <f>MATCH(Tableau6[Jours Mois]&amp;"/"&amp;Tableau6[[#Headers],[2023]],tabSuiviConso[Jour Mois Année],0)</f>
        <v>#N/A</v>
      </c>
      <c r="K76" s="35" t="e">
        <f>Tableau6[[#This Row],[Cumul 2022]]-Tableau6[[#This Row],[Cumul 2021]]</f>
        <v>#N/A</v>
      </c>
      <c r="L76" s="37" t="e">
        <f>Tableau6[[#This Row],[Ecart 2021 2022]]/Tableau6[[#This Row],[Cumul 2021]]</f>
        <v>#N/A</v>
      </c>
      <c r="M76" s="35" t="str">
        <f>IF(ISNA(Tableau6[[#This Row],[Position 2023]]),"",INDEX(tabSuiviConso[HP + HC
cumul],Tableau6[[#This Row],[Position 2023]],1))</f>
        <v/>
      </c>
      <c r="N76" s="56" t="e">
        <f>IF(ISNA(Tableau6[[#This Row],[Position 2023]]),Tableau6[[#This Row],[Position 2023]],Tableau6[[#This Row],[2023]]-M$2)</f>
        <v>#N/A</v>
      </c>
      <c r="O76" s="35" t="e">
        <f>Tableau6[[#This Row],[Cumul 2023]]-Tableau6[[#This Row],[Cumul 2022]]</f>
        <v>#N/A</v>
      </c>
      <c r="P76" s="37" t="e">
        <f>Tableau6[[#This Row],[Ecart 2022 2023]]/Tableau6[[#This Row],[Cumul 2022]]</f>
        <v>#N/A</v>
      </c>
      <c r="Q76" s="35" t="e">
        <f>MATCH(Tableau6[Jours Mois]&amp;"/"&amp;Tableau6[[#Headers],[2024]],tabSuiviConso[Jour Mois Année],0)</f>
        <v>#N/A</v>
      </c>
      <c r="R76" s="35" t="str">
        <f>IF(ISNA(Tableau6[[#This Row],[Position 2024]]),"",INDEX(tabSuiviConso[HP + HC
cumul],Tableau6[[#This Row],[Position 2024]],1))</f>
        <v/>
      </c>
      <c r="S76" s="56" t="e">
        <f>IF(ISNA(Tableau6[[#This Row],[Position 2024]]),Tableau6[[#This Row],[Position 2024]],Tableau6[[#This Row],[2024]]-R$2)</f>
        <v>#N/A</v>
      </c>
      <c r="T76" s="35" t="e">
        <f>Tableau6[[#This Row],[Cumul 2024]]-Tableau6[[#This Row],[Cumul 2023]]</f>
        <v>#N/A</v>
      </c>
      <c r="U76" s="36" t="e">
        <f>Tableau6[[#This Row],[Ecart 2023 2024]]/Tableau6[[#This Row],[Cumul 2023]]</f>
        <v>#N/A</v>
      </c>
    </row>
    <row r="77" spans="1:21" x14ac:dyDescent="0.2">
      <c r="A77" s="35">
        <v>3</v>
      </c>
      <c r="B77" s="35">
        <v>15</v>
      </c>
      <c r="C77" s="35" t="str">
        <f>Tableau6[Jour]&amp;"/"&amp;Tableau6[Mois]</f>
        <v>15/3</v>
      </c>
      <c r="D77" s="35" t="e">
        <f>MATCH(Tableau6[Jours Mois]&amp;"/"&amp;Tableau6[[#Headers],[2021]],tabSuiviConso[Jour Mois Année],0)</f>
        <v>#N/A</v>
      </c>
      <c r="E77" s="35" t="str">
        <f>IF(ISNA(Tableau6[[#This Row],[Position 2021]]),"",INDEX(tabSuiviConso[HP + HC
cumul],Tableau6[[#This Row],[Position 2021]],1))</f>
        <v/>
      </c>
      <c r="F77" s="56" t="e">
        <f>IF(ISNA(Tableau6[[#This Row],[Position 2021]]),Tableau6[[#This Row],[Position 2021]],Tableau6[[#This Row],[2021]]-E$2)</f>
        <v>#N/A</v>
      </c>
      <c r="G77" s="35" t="e">
        <f>MATCH(Tableau6[Jours Mois]&amp;"/"&amp;Tableau6[[#Headers],[2022]],tabSuiviConso[Jour Mois Année],0)</f>
        <v>#N/A</v>
      </c>
      <c r="H77" s="35" t="str">
        <f>IF(ISNA(Tableau6[[#This Row],[Position 2022]]),"",INDEX(tabSuiviConso[HP + HC
cumul],Tableau6[[#This Row],[Position 2022]],1))</f>
        <v/>
      </c>
      <c r="I77" s="56" t="e">
        <f>IF(ISNA(Tableau6[[#This Row],[Position 2022]]),Tableau6[[#This Row],[Position 2022]],Tableau6[[#This Row],[2022]]-H$2)</f>
        <v>#N/A</v>
      </c>
      <c r="J77" s="35" t="e">
        <f>MATCH(Tableau6[Jours Mois]&amp;"/"&amp;Tableau6[[#Headers],[2023]],tabSuiviConso[Jour Mois Année],0)</f>
        <v>#N/A</v>
      </c>
      <c r="K77" s="35" t="e">
        <f>Tableau6[[#This Row],[Cumul 2022]]-Tableau6[[#This Row],[Cumul 2021]]</f>
        <v>#N/A</v>
      </c>
      <c r="L77" s="37" t="e">
        <f>Tableau6[[#This Row],[Ecart 2021 2022]]/Tableau6[[#This Row],[Cumul 2021]]</f>
        <v>#N/A</v>
      </c>
      <c r="M77" s="35" t="str">
        <f>IF(ISNA(Tableau6[[#This Row],[Position 2023]]),"",INDEX(tabSuiviConso[HP + HC
cumul],Tableau6[[#This Row],[Position 2023]],1))</f>
        <v/>
      </c>
      <c r="N77" s="56" t="e">
        <f>IF(ISNA(Tableau6[[#This Row],[Position 2023]]),Tableau6[[#This Row],[Position 2023]],Tableau6[[#This Row],[2023]]-M$2)</f>
        <v>#N/A</v>
      </c>
      <c r="O77" s="35" t="e">
        <f>Tableau6[[#This Row],[Cumul 2023]]-Tableau6[[#This Row],[Cumul 2022]]</f>
        <v>#N/A</v>
      </c>
      <c r="P77" s="37" t="e">
        <f>Tableau6[[#This Row],[Ecart 2022 2023]]/Tableau6[[#This Row],[Cumul 2022]]</f>
        <v>#N/A</v>
      </c>
      <c r="Q77" s="35" t="e">
        <f>MATCH(Tableau6[Jours Mois]&amp;"/"&amp;Tableau6[[#Headers],[2024]],tabSuiviConso[Jour Mois Année],0)</f>
        <v>#N/A</v>
      </c>
      <c r="R77" s="35" t="str">
        <f>IF(ISNA(Tableau6[[#This Row],[Position 2024]]),"",INDEX(tabSuiviConso[HP + HC
cumul],Tableau6[[#This Row],[Position 2024]],1))</f>
        <v/>
      </c>
      <c r="S77" s="56" t="e">
        <f>IF(ISNA(Tableau6[[#This Row],[Position 2024]]),Tableau6[[#This Row],[Position 2024]],Tableau6[[#This Row],[2024]]-R$2)</f>
        <v>#N/A</v>
      </c>
      <c r="T77" s="35" t="e">
        <f>Tableau6[[#This Row],[Cumul 2024]]-Tableau6[[#This Row],[Cumul 2023]]</f>
        <v>#N/A</v>
      </c>
      <c r="U77" s="36" t="e">
        <f>Tableau6[[#This Row],[Ecart 2023 2024]]/Tableau6[[#This Row],[Cumul 2023]]</f>
        <v>#N/A</v>
      </c>
    </row>
    <row r="78" spans="1:21" x14ac:dyDescent="0.2">
      <c r="A78" s="35">
        <v>3</v>
      </c>
      <c r="B78" s="35">
        <v>16</v>
      </c>
      <c r="C78" s="35" t="str">
        <f>Tableau6[Jour]&amp;"/"&amp;Tableau6[Mois]</f>
        <v>16/3</v>
      </c>
      <c r="D78" s="35" t="e">
        <f>MATCH(Tableau6[Jours Mois]&amp;"/"&amp;Tableau6[[#Headers],[2021]],tabSuiviConso[Jour Mois Année],0)</f>
        <v>#N/A</v>
      </c>
      <c r="E78" s="35" t="str">
        <f>IF(ISNA(Tableau6[[#This Row],[Position 2021]]),"",INDEX(tabSuiviConso[HP + HC
cumul],Tableau6[[#This Row],[Position 2021]],1))</f>
        <v/>
      </c>
      <c r="F78" s="56" t="e">
        <f>IF(ISNA(Tableau6[[#This Row],[Position 2021]]),Tableau6[[#This Row],[Position 2021]],Tableau6[[#This Row],[2021]]-E$2)</f>
        <v>#N/A</v>
      </c>
      <c r="G78" s="35" t="e">
        <f>MATCH(Tableau6[Jours Mois]&amp;"/"&amp;Tableau6[[#Headers],[2022]],tabSuiviConso[Jour Mois Année],0)</f>
        <v>#N/A</v>
      </c>
      <c r="H78" s="35" t="str">
        <f>IF(ISNA(Tableau6[[#This Row],[Position 2022]]),"",INDEX(tabSuiviConso[HP + HC
cumul],Tableau6[[#This Row],[Position 2022]],1))</f>
        <v/>
      </c>
      <c r="I78" s="56" t="e">
        <f>IF(ISNA(Tableau6[[#This Row],[Position 2022]]),Tableau6[[#This Row],[Position 2022]],Tableau6[[#This Row],[2022]]-H$2)</f>
        <v>#N/A</v>
      </c>
      <c r="J78" s="35" t="e">
        <f>MATCH(Tableau6[Jours Mois]&amp;"/"&amp;Tableau6[[#Headers],[2023]],tabSuiviConso[Jour Mois Année],0)</f>
        <v>#N/A</v>
      </c>
      <c r="K78" s="35" t="e">
        <f>Tableau6[[#This Row],[Cumul 2022]]-Tableau6[[#This Row],[Cumul 2021]]</f>
        <v>#N/A</v>
      </c>
      <c r="L78" s="37" t="e">
        <f>Tableau6[[#This Row],[Ecart 2021 2022]]/Tableau6[[#This Row],[Cumul 2021]]</f>
        <v>#N/A</v>
      </c>
      <c r="M78" s="35" t="str">
        <f>IF(ISNA(Tableau6[[#This Row],[Position 2023]]),"",INDEX(tabSuiviConso[HP + HC
cumul],Tableau6[[#This Row],[Position 2023]],1))</f>
        <v/>
      </c>
      <c r="N78" s="56" t="e">
        <f>IF(ISNA(Tableau6[[#This Row],[Position 2023]]),Tableau6[[#This Row],[Position 2023]],Tableau6[[#This Row],[2023]]-M$2)</f>
        <v>#N/A</v>
      </c>
      <c r="O78" s="35" t="e">
        <f>Tableau6[[#This Row],[Cumul 2023]]-Tableau6[[#This Row],[Cumul 2022]]</f>
        <v>#N/A</v>
      </c>
      <c r="P78" s="37" t="e">
        <f>Tableau6[[#This Row],[Ecart 2022 2023]]/Tableau6[[#This Row],[Cumul 2022]]</f>
        <v>#N/A</v>
      </c>
      <c r="Q78" s="35" t="e">
        <f>MATCH(Tableau6[Jours Mois]&amp;"/"&amp;Tableau6[[#Headers],[2024]],tabSuiviConso[Jour Mois Année],0)</f>
        <v>#N/A</v>
      </c>
      <c r="R78" s="35" t="str">
        <f>IF(ISNA(Tableau6[[#This Row],[Position 2024]]),"",INDEX(tabSuiviConso[HP + HC
cumul],Tableau6[[#This Row],[Position 2024]],1))</f>
        <v/>
      </c>
      <c r="S78" s="56" t="e">
        <f>IF(ISNA(Tableau6[[#This Row],[Position 2024]]),Tableau6[[#This Row],[Position 2024]],Tableau6[[#This Row],[2024]]-R$2)</f>
        <v>#N/A</v>
      </c>
      <c r="T78" s="35" t="e">
        <f>Tableau6[[#This Row],[Cumul 2024]]-Tableau6[[#This Row],[Cumul 2023]]</f>
        <v>#N/A</v>
      </c>
      <c r="U78" s="36" t="e">
        <f>Tableau6[[#This Row],[Ecart 2023 2024]]/Tableau6[[#This Row],[Cumul 2023]]</f>
        <v>#N/A</v>
      </c>
    </row>
    <row r="79" spans="1:21" x14ac:dyDescent="0.2">
      <c r="A79" s="35">
        <v>3</v>
      </c>
      <c r="B79" s="35">
        <v>17</v>
      </c>
      <c r="C79" s="35" t="str">
        <f>Tableau6[Jour]&amp;"/"&amp;Tableau6[Mois]</f>
        <v>17/3</v>
      </c>
      <c r="D79" s="35" t="e">
        <f>MATCH(Tableau6[Jours Mois]&amp;"/"&amp;Tableau6[[#Headers],[2021]],tabSuiviConso[Jour Mois Année],0)</f>
        <v>#N/A</v>
      </c>
      <c r="E79" s="35" t="str">
        <f>IF(ISNA(Tableau6[[#This Row],[Position 2021]]),"",INDEX(tabSuiviConso[HP + HC
cumul],Tableau6[[#This Row],[Position 2021]],1))</f>
        <v/>
      </c>
      <c r="F79" s="56" t="e">
        <f>IF(ISNA(Tableau6[[#This Row],[Position 2021]]),Tableau6[[#This Row],[Position 2021]],Tableau6[[#This Row],[2021]]-E$2)</f>
        <v>#N/A</v>
      </c>
      <c r="G79" s="35" t="e">
        <f>MATCH(Tableau6[Jours Mois]&amp;"/"&amp;Tableau6[[#Headers],[2022]],tabSuiviConso[Jour Mois Année],0)</f>
        <v>#N/A</v>
      </c>
      <c r="H79" s="35" t="str">
        <f>IF(ISNA(Tableau6[[#This Row],[Position 2022]]),"",INDEX(tabSuiviConso[HP + HC
cumul],Tableau6[[#This Row],[Position 2022]],1))</f>
        <v/>
      </c>
      <c r="I79" s="56" t="e">
        <f>IF(ISNA(Tableau6[[#This Row],[Position 2022]]),Tableau6[[#This Row],[Position 2022]],Tableau6[[#This Row],[2022]]-H$2)</f>
        <v>#N/A</v>
      </c>
      <c r="J79" s="35" t="e">
        <f>MATCH(Tableau6[Jours Mois]&amp;"/"&amp;Tableau6[[#Headers],[2023]],tabSuiviConso[Jour Mois Année],0)</f>
        <v>#N/A</v>
      </c>
      <c r="K79" s="35" t="e">
        <f>Tableau6[[#This Row],[Cumul 2022]]-Tableau6[[#This Row],[Cumul 2021]]</f>
        <v>#N/A</v>
      </c>
      <c r="L79" s="37" t="e">
        <f>Tableau6[[#This Row],[Ecart 2021 2022]]/Tableau6[[#This Row],[Cumul 2021]]</f>
        <v>#N/A</v>
      </c>
      <c r="M79" s="35" t="str">
        <f>IF(ISNA(Tableau6[[#This Row],[Position 2023]]),"",INDEX(tabSuiviConso[HP + HC
cumul],Tableau6[[#This Row],[Position 2023]],1))</f>
        <v/>
      </c>
      <c r="N79" s="56" t="e">
        <f>IF(ISNA(Tableau6[[#This Row],[Position 2023]]),Tableau6[[#This Row],[Position 2023]],Tableau6[[#This Row],[2023]]-M$2)</f>
        <v>#N/A</v>
      </c>
      <c r="O79" s="35" t="e">
        <f>Tableau6[[#This Row],[Cumul 2023]]-Tableau6[[#This Row],[Cumul 2022]]</f>
        <v>#N/A</v>
      </c>
      <c r="P79" s="37" t="e">
        <f>Tableau6[[#This Row],[Ecart 2022 2023]]/Tableau6[[#This Row],[Cumul 2022]]</f>
        <v>#N/A</v>
      </c>
      <c r="Q79" s="35" t="e">
        <f>MATCH(Tableau6[Jours Mois]&amp;"/"&amp;Tableau6[[#Headers],[2024]],tabSuiviConso[Jour Mois Année],0)</f>
        <v>#N/A</v>
      </c>
      <c r="R79" s="35" t="str">
        <f>IF(ISNA(Tableau6[[#This Row],[Position 2024]]),"",INDEX(tabSuiviConso[HP + HC
cumul],Tableau6[[#This Row],[Position 2024]],1))</f>
        <v/>
      </c>
      <c r="S79" s="56" t="e">
        <f>IF(ISNA(Tableau6[[#This Row],[Position 2024]]),Tableau6[[#This Row],[Position 2024]],Tableau6[[#This Row],[2024]]-R$2)</f>
        <v>#N/A</v>
      </c>
      <c r="T79" s="35" t="e">
        <f>Tableau6[[#This Row],[Cumul 2024]]-Tableau6[[#This Row],[Cumul 2023]]</f>
        <v>#N/A</v>
      </c>
      <c r="U79" s="36" t="e">
        <f>Tableau6[[#This Row],[Ecart 2023 2024]]/Tableau6[[#This Row],[Cumul 2023]]</f>
        <v>#N/A</v>
      </c>
    </row>
    <row r="80" spans="1:21" x14ac:dyDescent="0.2">
      <c r="A80" s="35">
        <v>3</v>
      </c>
      <c r="B80" s="35">
        <v>18</v>
      </c>
      <c r="C80" s="35" t="str">
        <f>Tableau6[Jour]&amp;"/"&amp;Tableau6[Mois]</f>
        <v>18/3</v>
      </c>
      <c r="D80" s="35" t="e">
        <f>MATCH(Tableau6[Jours Mois]&amp;"/"&amp;Tableau6[[#Headers],[2021]],tabSuiviConso[Jour Mois Année],0)</f>
        <v>#N/A</v>
      </c>
      <c r="E80" s="35" t="str">
        <f>IF(ISNA(Tableau6[[#This Row],[Position 2021]]),"",INDEX(tabSuiviConso[HP + HC
cumul],Tableau6[[#This Row],[Position 2021]],1))</f>
        <v/>
      </c>
      <c r="F80" s="56" t="e">
        <f>IF(ISNA(Tableau6[[#This Row],[Position 2021]]),Tableau6[[#This Row],[Position 2021]],Tableau6[[#This Row],[2021]]-E$2)</f>
        <v>#N/A</v>
      </c>
      <c r="G80" s="35" t="e">
        <f>MATCH(Tableau6[Jours Mois]&amp;"/"&amp;Tableau6[[#Headers],[2022]],tabSuiviConso[Jour Mois Année],0)</f>
        <v>#N/A</v>
      </c>
      <c r="H80" s="35" t="str">
        <f>IF(ISNA(Tableau6[[#This Row],[Position 2022]]),"",INDEX(tabSuiviConso[HP + HC
cumul],Tableau6[[#This Row],[Position 2022]],1))</f>
        <v/>
      </c>
      <c r="I80" s="56" t="e">
        <f>IF(ISNA(Tableau6[[#This Row],[Position 2022]]),Tableau6[[#This Row],[Position 2022]],Tableau6[[#This Row],[2022]]-H$2)</f>
        <v>#N/A</v>
      </c>
      <c r="J80" s="35" t="e">
        <f>MATCH(Tableau6[Jours Mois]&amp;"/"&amp;Tableau6[[#Headers],[2023]],tabSuiviConso[Jour Mois Année],0)</f>
        <v>#N/A</v>
      </c>
      <c r="K80" s="35" t="e">
        <f>Tableau6[[#This Row],[Cumul 2022]]-Tableau6[[#This Row],[Cumul 2021]]</f>
        <v>#N/A</v>
      </c>
      <c r="L80" s="37" t="e">
        <f>Tableau6[[#This Row],[Ecart 2021 2022]]/Tableau6[[#This Row],[Cumul 2021]]</f>
        <v>#N/A</v>
      </c>
      <c r="M80" s="35" t="str">
        <f>IF(ISNA(Tableau6[[#This Row],[Position 2023]]),"",INDEX(tabSuiviConso[HP + HC
cumul],Tableau6[[#This Row],[Position 2023]],1))</f>
        <v/>
      </c>
      <c r="N80" s="56" t="e">
        <f>IF(ISNA(Tableau6[[#This Row],[Position 2023]]),Tableau6[[#This Row],[Position 2023]],Tableau6[[#This Row],[2023]]-M$2)</f>
        <v>#N/A</v>
      </c>
      <c r="O80" s="35" t="e">
        <f>Tableau6[[#This Row],[Cumul 2023]]-Tableau6[[#This Row],[Cumul 2022]]</f>
        <v>#N/A</v>
      </c>
      <c r="P80" s="37" t="e">
        <f>Tableau6[[#This Row],[Ecart 2022 2023]]/Tableau6[[#This Row],[Cumul 2022]]</f>
        <v>#N/A</v>
      </c>
      <c r="Q80" s="35" t="e">
        <f>MATCH(Tableau6[Jours Mois]&amp;"/"&amp;Tableau6[[#Headers],[2024]],tabSuiviConso[Jour Mois Année],0)</f>
        <v>#N/A</v>
      </c>
      <c r="R80" s="35" t="str">
        <f>IF(ISNA(Tableau6[[#This Row],[Position 2024]]),"",INDEX(tabSuiviConso[HP + HC
cumul],Tableau6[[#This Row],[Position 2024]],1))</f>
        <v/>
      </c>
      <c r="S80" s="56" t="e">
        <f>IF(ISNA(Tableau6[[#This Row],[Position 2024]]),Tableau6[[#This Row],[Position 2024]],Tableau6[[#This Row],[2024]]-R$2)</f>
        <v>#N/A</v>
      </c>
      <c r="T80" s="35" t="e">
        <f>Tableau6[[#This Row],[Cumul 2024]]-Tableau6[[#This Row],[Cumul 2023]]</f>
        <v>#N/A</v>
      </c>
      <c r="U80" s="36" t="e">
        <f>Tableau6[[#This Row],[Ecart 2023 2024]]/Tableau6[[#This Row],[Cumul 2023]]</f>
        <v>#N/A</v>
      </c>
    </row>
    <row r="81" spans="1:21" x14ac:dyDescent="0.2">
      <c r="A81" s="35">
        <v>3</v>
      </c>
      <c r="B81" s="35">
        <v>19</v>
      </c>
      <c r="C81" s="35" t="str">
        <f>Tableau6[Jour]&amp;"/"&amp;Tableau6[Mois]</f>
        <v>19/3</v>
      </c>
      <c r="D81" s="35" t="e">
        <f>MATCH(Tableau6[Jours Mois]&amp;"/"&amp;Tableau6[[#Headers],[2021]],tabSuiviConso[Jour Mois Année],0)</f>
        <v>#N/A</v>
      </c>
      <c r="E81" s="35" t="str">
        <f>IF(ISNA(Tableau6[[#This Row],[Position 2021]]),"",INDEX(tabSuiviConso[HP + HC
cumul],Tableau6[[#This Row],[Position 2021]],1))</f>
        <v/>
      </c>
      <c r="F81" s="56" t="e">
        <f>IF(ISNA(Tableau6[[#This Row],[Position 2021]]),Tableau6[[#This Row],[Position 2021]],Tableau6[[#This Row],[2021]]-E$2)</f>
        <v>#N/A</v>
      </c>
      <c r="G81" s="35" t="e">
        <f>MATCH(Tableau6[Jours Mois]&amp;"/"&amp;Tableau6[[#Headers],[2022]],tabSuiviConso[Jour Mois Année],0)</f>
        <v>#N/A</v>
      </c>
      <c r="H81" s="35" t="str">
        <f>IF(ISNA(Tableau6[[#This Row],[Position 2022]]),"",INDEX(tabSuiviConso[HP + HC
cumul],Tableau6[[#This Row],[Position 2022]],1))</f>
        <v/>
      </c>
      <c r="I81" s="56" t="e">
        <f>IF(ISNA(Tableau6[[#This Row],[Position 2022]]),Tableau6[[#This Row],[Position 2022]],Tableau6[[#This Row],[2022]]-H$2)</f>
        <v>#N/A</v>
      </c>
      <c r="J81" s="35" t="e">
        <f>MATCH(Tableau6[Jours Mois]&amp;"/"&amp;Tableau6[[#Headers],[2023]],tabSuiviConso[Jour Mois Année],0)</f>
        <v>#N/A</v>
      </c>
      <c r="K81" s="35" t="e">
        <f>Tableau6[[#This Row],[Cumul 2022]]-Tableau6[[#This Row],[Cumul 2021]]</f>
        <v>#N/A</v>
      </c>
      <c r="L81" s="37" t="e">
        <f>Tableau6[[#This Row],[Ecart 2021 2022]]/Tableau6[[#This Row],[Cumul 2021]]</f>
        <v>#N/A</v>
      </c>
      <c r="M81" s="35" t="str">
        <f>IF(ISNA(Tableau6[[#This Row],[Position 2023]]),"",INDEX(tabSuiviConso[HP + HC
cumul],Tableau6[[#This Row],[Position 2023]],1))</f>
        <v/>
      </c>
      <c r="N81" s="56" t="e">
        <f>IF(ISNA(Tableau6[[#This Row],[Position 2023]]),Tableau6[[#This Row],[Position 2023]],Tableau6[[#This Row],[2023]]-M$2)</f>
        <v>#N/A</v>
      </c>
      <c r="O81" s="35" t="e">
        <f>Tableau6[[#This Row],[Cumul 2023]]-Tableau6[[#This Row],[Cumul 2022]]</f>
        <v>#N/A</v>
      </c>
      <c r="P81" s="37" t="e">
        <f>Tableau6[[#This Row],[Ecart 2022 2023]]/Tableau6[[#This Row],[Cumul 2022]]</f>
        <v>#N/A</v>
      </c>
      <c r="Q81" s="35" t="e">
        <f>MATCH(Tableau6[Jours Mois]&amp;"/"&amp;Tableau6[[#Headers],[2024]],tabSuiviConso[Jour Mois Année],0)</f>
        <v>#N/A</v>
      </c>
      <c r="R81" s="35" t="str">
        <f>IF(ISNA(Tableau6[[#This Row],[Position 2024]]),"",INDEX(tabSuiviConso[HP + HC
cumul],Tableau6[[#This Row],[Position 2024]],1))</f>
        <v/>
      </c>
      <c r="S81" s="56" t="e">
        <f>IF(ISNA(Tableau6[[#This Row],[Position 2024]]),Tableau6[[#This Row],[Position 2024]],Tableau6[[#This Row],[2024]]-R$2)</f>
        <v>#N/A</v>
      </c>
      <c r="T81" s="35" t="e">
        <f>Tableau6[[#This Row],[Cumul 2024]]-Tableau6[[#This Row],[Cumul 2023]]</f>
        <v>#N/A</v>
      </c>
      <c r="U81" s="36" t="e">
        <f>Tableau6[[#This Row],[Ecart 2023 2024]]/Tableau6[[#This Row],[Cumul 2023]]</f>
        <v>#N/A</v>
      </c>
    </row>
    <row r="82" spans="1:21" x14ac:dyDescent="0.2">
      <c r="A82" s="35">
        <v>3</v>
      </c>
      <c r="B82" s="35">
        <v>20</v>
      </c>
      <c r="C82" s="35" t="str">
        <f>Tableau6[Jour]&amp;"/"&amp;Tableau6[Mois]</f>
        <v>20/3</v>
      </c>
      <c r="D82" s="35" t="e">
        <f>MATCH(Tableau6[Jours Mois]&amp;"/"&amp;Tableau6[[#Headers],[2021]],tabSuiviConso[Jour Mois Année],0)</f>
        <v>#N/A</v>
      </c>
      <c r="E82" s="35" t="str">
        <f>IF(ISNA(Tableau6[[#This Row],[Position 2021]]),"",INDEX(tabSuiviConso[HP + HC
cumul],Tableau6[[#This Row],[Position 2021]],1))</f>
        <v/>
      </c>
      <c r="F82" s="56" t="e">
        <f>IF(ISNA(Tableau6[[#This Row],[Position 2021]]),Tableau6[[#This Row],[Position 2021]],Tableau6[[#This Row],[2021]]-E$2)</f>
        <v>#N/A</v>
      </c>
      <c r="G82" s="35" t="e">
        <f>MATCH(Tableau6[Jours Mois]&amp;"/"&amp;Tableau6[[#Headers],[2022]],tabSuiviConso[Jour Mois Année],0)</f>
        <v>#N/A</v>
      </c>
      <c r="H82" s="35" t="str">
        <f>IF(ISNA(Tableau6[[#This Row],[Position 2022]]),"",INDEX(tabSuiviConso[HP + HC
cumul],Tableau6[[#This Row],[Position 2022]],1))</f>
        <v/>
      </c>
      <c r="I82" s="56" t="e">
        <f>IF(ISNA(Tableau6[[#This Row],[Position 2022]]),Tableau6[[#This Row],[Position 2022]],Tableau6[[#This Row],[2022]]-H$2)</f>
        <v>#N/A</v>
      </c>
      <c r="J82" s="35" t="e">
        <f>MATCH(Tableau6[Jours Mois]&amp;"/"&amp;Tableau6[[#Headers],[2023]],tabSuiviConso[Jour Mois Année],0)</f>
        <v>#N/A</v>
      </c>
      <c r="K82" s="35" t="e">
        <f>Tableau6[[#This Row],[Cumul 2022]]-Tableau6[[#This Row],[Cumul 2021]]</f>
        <v>#N/A</v>
      </c>
      <c r="L82" s="37" t="e">
        <f>Tableau6[[#This Row],[Ecart 2021 2022]]/Tableau6[[#This Row],[Cumul 2021]]</f>
        <v>#N/A</v>
      </c>
      <c r="M82" s="35" t="str">
        <f>IF(ISNA(Tableau6[[#This Row],[Position 2023]]),"",INDEX(tabSuiviConso[HP + HC
cumul],Tableau6[[#This Row],[Position 2023]],1))</f>
        <v/>
      </c>
      <c r="N82" s="56" t="e">
        <f>IF(ISNA(Tableau6[[#This Row],[Position 2023]]),Tableau6[[#This Row],[Position 2023]],Tableau6[[#This Row],[2023]]-M$2)</f>
        <v>#N/A</v>
      </c>
      <c r="O82" s="35" t="e">
        <f>Tableau6[[#This Row],[Cumul 2023]]-Tableau6[[#This Row],[Cumul 2022]]</f>
        <v>#N/A</v>
      </c>
      <c r="P82" s="37" t="e">
        <f>Tableau6[[#This Row],[Ecart 2022 2023]]/Tableau6[[#This Row],[Cumul 2022]]</f>
        <v>#N/A</v>
      </c>
      <c r="Q82" s="35" t="e">
        <f>MATCH(Tableau6[Jours Mois]&amp;"/"&amp;Tableau6[[#Headers],[2024]],tabSuiviConso[Jour Mois Année],0)</f>
        <v>#N/A</v>
      </c>
      <c r="R82" s="35" t="str">
        <f>IF(ISNA(Tableau6[[#This Row],[Position 2024]]),"",INDEX(tabSuiviConso[HP + HC
cumul],Tableau6[[#This Row],[Position 2024]],1))</f>
        <v/>
      </c>
      <c r="S82" s="56" t="e">
        <f>IF(ISNA(Tableau6[[#This Row],[Position 2024]]),Tableau6[[#This Row],[Position 2024]],Tableau6[[#This Row],[2024]]-R$2)</f>
        <v>#N/A</v>
      </c>
      <c r="T82" s="35" t="e">
        <f>Tableau6[[#This Row],[Cumul 2024]]-Tableau6[[#This Row],[Cumul 2023]]</f>
        <v>#N/A</v>
      </c>
      <c r="U82" s="36" t="e">
        <f>Tableau6[[#This Row],[Ecart 2023 2024]]/Tableau6[[#This Row],[Cumul 2023]]</f>
        <v>#N/A</v>
      </c>
    </row>
    <row r="83" spans="1:21" x14ac:dyDescent="0.2">
      <c r="A83" s="35">
        <v>3</v>
      </c>
      <c r="B83" s="35">
        <v>21</v>
      </c>
      <c r="C83" s="35" t="str">
        <f>Tableau6[Jour]&amp;"/"&amp;Tableau6[Mois]</f>
        <v>21/3</v>
      </c>
      <c r="D83" s="35" t="e">
        <f>MATCH(Tableau6[Jours Mois]&amp;"/"&amp;Tableau6[[#Headers],[2021]],tabSuiviConso[Jour Mois Année],0)</f>
        <v>#N/A</v>
      </c>
      <c r="E83" s="35" t="str">
        <f>IF(ISNA(Tableau6[[#This Row],[Position 2021]]),"",INDEX(tabSuiviConso[HP + HC
cumul],Tableau6[[#This Row],[Position 2021]],1))</f>
        <v/>
      </c>
      <c r="F83" s="56" t="e">
        <f>IF(ISNA(Tableau6[[#This Row],[Position 2021]]),Tableau6[[#This Row],[Position 2021]],Tableau6[[#This Row],[2021]]-E$2)</f>
        <v>#N/A</v>
      </c>
      <c r="G83" s="35" t="e">
        <f>MATCH(Tableau6[Jours Mois]&amp;"/"&amp;Tableau6[[#Headers],[2022]],tabSuiviConso[Jour Mois Année],0)</f>
        <v>#N/A</v>
      </c>
      <c r="H83" s="35" t="str">
        <f>IF(ISNA(Tableau6[[#This Row],[Position 2022]]),"",INDEX(tabSuiviConso[HP + HC
cumul],Tableau6[[#This Row],[Position 2022]],1))</f>
        <v/>
      </c>
      <c r="I83" s="56" t="e">
        <f>IF(ISNA(Tableau6[[#This Row],[Position 2022]]),Tableau6[[#This Row],[Position 2022]],Tableau6[[#This Row],[2022]]-H$2)</f>
        <v>#N/A</v>
      </c>
      <c r="J83" s="35" t="e">
        <f>MATCH(Tableau6[Jours Mois]&amp;"/"&amp;Tableau6[[#Headers],[2023]],tabSuiviConso[Jour Mois Année],0)</f>
        <v>#N/A</v>
      </c>
      <c r="K83" s="35" t="e">
        <f>Tableau6[[#This Row],[Cumul 2022]]-Tableau6[[#This Row],[Cumul 2021]]</f>
        <v>#N/A</v>
      </c>
      <c r="L83" s="37" t="e">
        <f>Tableau6[[#This Row],[Ecart 2021 2022]]/Tableau6[[#This Row],[Cumul 2021]]</f>
        <v>#N/A</v>
      </c>
      <c r="M83" s="35" t="str">
        <f>IF(ISNA(Tableau6[[#This Row],[Position 2023]]),"",INDEX(tabSuiviConso[HP + HC
cumul],Tableau6[[#This Row],[Position 2023]],1))</f>
        <v/>
      </c>
      <c r="N83" s="56" t="e">
        <f>IF(ISNA(Tableau6[[#This Row],[Position 2023]]),Tableau6[[#This Row],[Position 2023]],Tableau6[[#This Row],[2023]]-M$2)</f>
        <v>#N/A</v>
      </c>
      <c r="O83" s="35" t="e">
        <f>Tableau6[[#This Row],[Cumul 2023]]-Tableau6[[#This Row],[Cumul 2022]]</f>
        <v>#N/A</v>
      </c>
      <c r="P83" s="37" t="e">
        <f>Tableau6[[#This Row],[Ecart 2022 2023]]/Tableau6[[#This Row],[Cumul 2022]]</f>
        <v>#N/A</v>
      </c>
      <c r="Q83" s="35" t="e">
        <f>MATCH(Tableau6[Jours Mois]&amp;"/"&amp;Tableau6[[#Headers],[2024]],tabSuiviConso[Jour Mois Année],0)</f>
        <v>#N/A</v>
      </c>
      <c r="R83" s="35" t="str">
        <f>IF(ISNA(Tableau6[[#This Row],[Position 2024]]),"",INDEX(tabSuiviConso[HP + HC
cumul],Tableau6[[#This Row],[Position 2024]],1))</f>
        <v/>
      </c>
      <c r="S83" s="56" t="e">
        <f>IF(ISNA(Tableau6[[#This Row],[Position 2024]]),Tableau6[[#This Row],[Position 2024]],Tableau6[[#This Row],[2024]]-R$2)</f>
        <v>#N/A</v>
      </c>
      <c r="T83" s="35" t="e">
        <f>Tableau6[[#This Row],[Cumul 2024]]-Tableau6[[#This Row],[Cumul 2023]]</f>
        <v>#N/A</v>
      </c>
      <c r="U83" s="36" t="e">
        <f>Tableau6[[#This Row],[Ecart 2023 2024]]/Tableau6[[#This Row],[Cumul 2023]]</f>
        <v>#N/A</v>
      </c>
    </row>
    <row r="84" spans="1:21" x14ac:dyDescent="0.2">
      <c r="A84" s="35">
        <v>3</v>
      </c>
      <c r="B84" s="35">
        <v>22</v>
      </c>
      <c r="C84" s="35" t="str">
        <f>Tableau6[Jour]&amp;"/"&amp;Tableau6[Mois]</f>
        <v>22/3</v>
      </c>
      <c r="D84" s="35" t="e">
        <f>MATCH(Tableau6[Jours Mois]&amp;"/"&amp;Tableau6[[#Headers],[2021]],tabSuiviConso[Jour Mois Année],0)</f>
        <v>#N/A</v>
      </c>
      <c r="E84" s="35" t="str">
        <f>IF(ISNA(Tableau6[[#This Row],[Position 2021]]),"",INDEX(tabSuiviConso[HP + HC
cumul],Tableau6[[#This Row],[Position 2021]],1))</f>
        <v/>
      </c>
      <c r="F84" s="56" t="e">
        <f>IF(ISNA(Tableau6[[#This Row],[Position 2021]]),Tableau6[[#This Row],[Position 2021]],Tableau6[[#This Row],[2021]]-E$2)</f>
        <v>#N/A</v>
      </c>
      <c r="G84" s="35" t="e">
        <f>MATCH(Tableau6[Jours Mois]&amp;"/"&amp;Tableau6[[#Headers],[2022]],tabSuiviConso[Jour Mois Année],0)</f>
        <v>#N/A</v>
      </c>
      <c r="H84" s="35" t="str">
        <f>IF(ISNA(Tableau6[[#This Row],[Position 2022]]),"",INDEX(tabSuiviConso[HP + HC
cumul],Tableau6[[#This Row],[Position 2022]],1))</f>
        <v/>
      </c>
      <c r="I84" s="56" t="e">
        <f>IF(ISNA(Tableau6[[#This Row],[Position 2022]]),Tableau6[[#This Row],[Position 2022]],Tableau6[[#This Row],[2022]]-H$2)</f>
        <v>#N/A</v>
      </c>
      <c r="J84" s="35" t="e">
        <f>MATCH(Tableau6[Jours Mois]&amp;"/"&amp;Tableau6[[#Headers],[2023]],tabSuiviConso[Jour Mois Année],0)</f>
        <v>#N/A</v>
      </c>
      <c r="K84" s="35" t="e">
        <f>Tableau6[[#This Row],[Cumul 2022]]-Tableau6[[#This Row],[Cumul 2021]]</f>
        <v>#N/A</v>
      </c>
      <c r="L84" s="37" t="e">
        <f>Tableau6[[#This Row],[Ecart 2021 2022]]/Tableau6[[#This Row],[Cumul 2021]]</f>
        <v>#N/A</v>
      </c>
      <c r="M84" s="35" t="str">
        <f>IF(ISNA(Tableau6[[#This Row],[Position 2023]]),"",INDEX(tabSuiviConso[HP + HC
cumul],Tableau6[[#This Row],[Position 2023]],1))</f>
        <v/>
      </c>
      <c r="N84" s="56" t="e">
        <f>IF(ISNA(Tableau6[[#This Row],[Position 2023]]),Tableau6[[#This Row],[Position 2023]],Tableau6[[#This Row],[2023]]-M$2)</f>
        <v>#N/A</v>
      </c>
      <c r="O84" s="35" t="e">
        <f>Tableau6[[#This Row],[Cumul 2023]]-Tableau6[[#This Row],[Cumul 2022]]</f>
        <v>#N/A</v>
      </c>
      <c r="P84" s="37" t="e">
        <f>Tableau6[[#This Row],[Ecart 2022 2023]]/Tableau6[[#This Row],[Cumul 2022]]</f>
        <v>#N/A</v>
      </c>
      <c r="Q84" s="35" t="e">
        <f>MATCH(Tableau6[Jours Mois]&amp;"/"&amp;Tableau6[[#Headers],[2024]],tabSuiviConso[Jour Mois Année],0)</f>
        <v>#N/A</v>
      </c>
      <c r="R84" s="35" t="str">
        <f>IF(ISNA(Tableau6[[#This Row],[Position 2024]]),"",INDEX(tabSuiviConso[HP + HC
cumul],Tableau6[[#This Row],[Position 2024]],1))</f>
        <v/>
      </c>
      <c r="S84" s="56" t="e">
        <f>IF(ISNA(Tableau6[[#This Row],[Position 2024]]),Tableau6[[#This Row],[Position 2024]],Tableau6[[#This Row],[2024]]-R$2)</f>
        <v>#N/A</v>
      </c>
      <c r="T84" s="35" t="e">
        <f>Tableau6[[#This Row],[Cumul 2024]]-Tableau6[[#This Row],[Cumul 2023]]</f>
        <v>#N/A</v>
      </c>
      <c r="U84" s="36" t="e">
        <f>Tableau6[[#This Row],[Ecart 2023 2024]]/Tableau6[[#This Row],[Cumul 2023]]</f>
        <v>#N/A</v>
      </c>
    </row>
    <row r="85" spans="1:21" x14ac:dyDescent="0.2">
      <c r="A85" s="35">
        <v>3</v>
      </c>
      <c r="B85" s="35">
        <v>23</v>
      </c>
      <c r="C85" s="35" t="str">
        <f>Tableau6[Jour]&amp;"/"&amp;Tableau6[Mois]</f>
        <v>23/3</v>
      </c>
      <c r="D85" s="35" t="e">
        <f>MATCH(Tableau6[Jours Mois]&amp;"/"&amp;Tableau6[[#Headers],[2021]],tabSuiviConso[Jour Mois Année],0)</f>
        <v>#N/A</v>
      </c>
      <c r="E85" s="35" t="str">
        <f>IF(ISNA(Tableau6[[#This Row],[Position 2021]]),"",INDEX(tabSuiviConso[HP + HC
cumul],Tableau6[[#This Row],[Position 2021]],1))</f>
        <v/>
      </c>
      <c r="F85" s="56" t="e">
        <f>IF(ISNA(Tableau6[[#This Row],[Position 2021]]),Tableau6[[#This Row],[Position 2021]],Tableau6[[#This Row],[2021]]-E$2)</f>
        <v>#N/A</v>
      </c>
      <c r="G85" s="35" t="e">
        <f>MATCH(Tableau6[Jours Mois]&amp;"/"&amp;Tableau6[[#Headers],[2022]],tabSuiviConso[Jour Mois Année],0)</f>
        <v>#N/A</v>
      </c>
      <c r="H85" s="35" t="str">
        <f>IF(ISNA(Tableau6[[#This Row],[Position 2022]]),"",INDEX(tabSuiviConso[HP + HC
cumul],Tableau6[[#This Row],[Position 2022]],1))</f>
        <v/>
      </c>
      <c r="I85" s="56" t="e">
        <f>IF(ISNA(Tableau6[[#This Row],[Position 2022]]),Tableau6[[#This Row],[Position 2022]],Tableau6[[#This Row],[2022]]-H$2)</f>
        <v>#N/A</v>
      </c>
      <c r="J85" s="35" t="e">
        <f>MATCH(Tableau6[Jours Mois]&amp;"/"&amp;Tableau6[[#Headers],[2023]],tabSuiviConso[Jour Mois Année],0)</f>
        <v>#N/A</v>
      </c>
      <c r="K85" s="35" t="e">
        <f>Tableau6[[#This Row],[Cumul 2022]]-Tableau6[[#This Row],[Cumul 2021]]</f>
        <v>#N/A</v>
      </c>
      <c r="L85" s="37" t="e">
        <f>Tableau6[[#This Row],[Ecart 2021 2022]]/Tableau6[[#This Row],[Cumul 2021]]</f>
        <v>#N/A</v>
      </c>
      <c r="M85" s="35" t="str">
        <f>IF(ISNA(Tableau6[[#This Row],[Position 2023]]),"",INDEX(tabSuiviConso[HP + HC
cumul],Tableau6[[#This Row],[Position 2023]],1))</f>
        <v/>
      </c>
      <c r="N85" s="56" t="e">
        <f>IF(ISNA(Tableau6[[#This Row],[Position 2023]]),Tableau6[[#This Row],[Position 2023]],Tableau6[[#This Row],[2023]]-M$2)</f>
        <v>#N/A</v>
      </c>
      <c r="O85" s="35" t="e">
        <f>Tableau6[[#This Row],[Cumul 2023]]-Tableau6[[#This Row],[Cumul 2022]]</f>
        <v>#N/A</v>
      </c>
      <c r="P85" s="37" t="e">
        <f>Tableau6[[#This Row],[Ecart 2022 2023]]/Tableau6[[#This Row],[Cumul 2022]]</f>
        <v>#N/A</v>
      </c>
      <c r="Q85" s="35" t="e">
        <f>MATCH(Tableau6[Jours Mois]&amp;"/"&amp;Tableau6[[#Headers],[2024]],tabSuiviConso[Jour Mois Année],0)</f>
        <v>#N/A</v>
      </c>
      <c r="R85" s="35" t="str">
        <f>IF(ISNA(Tableau6[[#This Row],[Position 2024]]),"",INDEX(tabSuiviConso[HP + HC
cumul],Tableau6[[#This Row],[Position 2024]],1))</f>
        <v/>
      </c>
      <c r="S85" s="56" t="e">
        <f>IF(ISNA(Tableau6[[#This Row],[Position 2024]]),Tableau6[[#This Row],[Position 2024]],Tableau6[[#This Row],[2024]]-R$2)</f>
        <v>#N/A</v>
      </c>
      <c r="T85" s="35" t="e">
        <f>Tableau6[[#This Row],[Cumul 2024]]-Tableau6[[#This Row],[Cumul 2023]]</f>
        <v>#N/A</v>
      </c>
      <c r="U85" s="36" t="e">
        <f>Tableau6[[#This Row],[Ecart 2023 2024]]/Tableau6[[#This Row],[Cumul 2023]]</f>
        <v>#N/A</v>
      </c>
    </row>
    <row r="86" spans="1:21" x14ac:dyDescent="0.2">
      <c r="A86" s="35">
        <v>3</v>
      </c>
      <c r="B86" s="35">
        <v>24</v>
      </c>
      <c r="C86" s="35" t="str">
        <f>Tableau6[Jour]&amp;"/"&amp;Tableau6[Mois]</f>
        <v>24/3</v>
      </c>
      <c r="D86" s="35" t="e">
        <f>MATCH(Tableau6[Jours Mois]&amp;"/"&amp;Tableau6[[#Headers],[2021]],tabSuiviConso[Jour Mois Année],0)</f>
        <v>#N/A</v>
      </c>
      <c r="E86" s="35" t="str">
        <f>IF(ISNA(Tableau6[[#This Row],[Position 2021]]),"",INDEX(tabSuiviConso[HP + HC
cumul],Tableau6[[#This Row],[Position 2021]],1))</f>
        <v/>
      </c>
      <c r="F86" s="56" t="e">
        <f>IF(ISNA(Tableau6[[#This Row],[Position 2021]]),Tableau6[[#This Row],[Position 2021]],Tableau6[[#This Row],[2021]]-E$2)</f>
        <v>#N/A</v>
      </c>
      <c r="G86" s="35" t="e">
        <f>MATCH(Tableau6[Jours Mois]&amp;"/"&amp;Tableau6[[#Headers],[2022]],tabSuiviConso[Jour Mois Année],0)</f>
        <v>#N/A</v>
      </c>
      <c r="H86" s="35" t="str">
        <f>IF(ISNA(Tableau6[[#This Row],[Position 2022]]),"",INDEX(tabSuiviConso[HP + HC
cumul],Tableau6[[#This Row],[Position 2022]],1))</f>
        <v/>
      </c>
      <c r="I86" s="56" t="e">
        <f>IF(ISNA(Tableau6[[#This Row],[Position 2022]]),Tableau6[[#This Row],[Position 2022]],Tableau6[[#This Row],[2022]]-H$2)</f>
        <v>#N/A</v>
      </c>
      <c r="J86" s="35" t="e">
        <f>MATCH(Tableau6[Jours Mois]&amp;"/"&amp;Tableau6[[#Headers],[2023]],tabSuiviConso[Jour Mois Année],0)</f>
        <v>#N/A</v>
      </c>
      <c r="K86" s="35" t="e">
        <f>Tableau6[[#This Row],[Cumul 2022]]-Tableau6[[#This Row],[Cumul 2021]]</f>
        <v>#N/A</v>
      </c>
      <c r="L86" s="37" t="e">
        <f>Tableau6[[#This Row],[Ecart 2021 2022]]/Tableau6[[#This Row],[Cumul 2021]]</f>
        <v>#N/A</v>
      </c>
      <c r="M86" s="35" t="str">
        <f>IF(ISNA(Tableau6[[#This Row],[Position 2023]]),"",INDEX(tabSuiviConso[HP + HC
cumul],Tableau6[[#This Row],[Position 2023]],1))</f>
        <v/>
      </c>
      <c r="N86" s="56" t="e">
        <f>IF(ISNA(Tableau6[[#This Row],[Position 2023]]),Tableau6[[#This Row],[Position 2023]],Tableau6[[#This Row],[2023]]-M$2)</f>
        <v>#N/A</v>
      </c>
      <c r="O86" s="35" t="e">
        <f>Tableau6[[#This Row],[Cumul 2023]]-Tableau6[[#This Row],[Cumul 2022]]</f>
        <v>#N/A</v>
      </c>
      <c r="P86" s="37" t="e">
        <f>Tableau6[[#This Row],[Ecart 2022 2023]]/Tableau6[[#This Row],[Cumul 2022]]</f>
        <v>#N/A</v>
      </c>
      <c r="Q86" s="35" t="e">
        <f>MATCH(Tableau6[Jours Mois]&amp;"/"&amp;Tableau6[[#Headers],[2024]],tabSuiviConso[Jour Mois Année],0)</f>
        <v>#N/A</v>
      </c>
      <c r="R86" s="35" t="str">
        <f>IF(ISNA(Tableau6[[#This Row],[Position 2024]]),"",INDEX(tabSuiviConso[HP + HC
cumul],Tableau6[[#This Row],[Position 2024]],1))</f>
        <v/>
      </c>
      <c r="S86" s="56" t="e">
        <f>IF(ISNA(Tableau6[[#This Row],[Position 2024]]),Tableau6[[#This Row],[Position 2024]],Tableau6[[#This Row],[2024]]-R$2)</f>
        <v>#N/A</v>
      </c>
      <c r="T86" s="35" t="e">
        <f>Tableau6[[#This Row],[Cumul 2024]]-Tableau6[[#This Row],[Cumul 2023]]</f>
        <v>#N/A</v>
      </c>
      <c r="U86" s="36" t="e">
        <f>Tableau6[[#This Row],[Ecart 2023 2024]]/Tableau6[[#This Row],[Cumul 2023]]</f>
        <v>#N/A</v>
      </c>
    </row>
    <row r="87" spans="1:21" x14ac:dyDescent="0.2">
      <c r="A87" s="35">
        <v>3</v>
      </c>
      <c r="B87" s="35">
        <v>25</v>
      </c>
      <c r="C87" s="35" t="str">
        <f>Tableau6[Jour]&amp;"/"&amp;Tableau6[Mois]</f>
        <v>25/3</v>
      </c>
      <c r="D87" s="35" t="e">
        <f>MATCH(Tableau6[Jours Mois]&amp;"/"&amp;Tableau6[[#Headers],[2021]],tabSuiviConso[Jour Mois Année],0)</f>
        <v>#N/A</v>
      </c>
      <c r="E87" s="35" t="str">
        <f>IF(ISNA(Tableau6[[#This Row],[Position 2021]]),"",INDEX(tabSuiviConso[HP + HC
cumul],Tableau6[[#This Row],[Position 2021]],1))</f>
        <v/>
      </c>
      <c r="F87" s="56" t="e">
        <f>IF(ISNA(Tableau6[[#This Row],[Position 2021]]),Tableau6[[#This Row],[Position 2021]],Tableau6[[#This Row],[2021]]-E$2)</f>
        <v>#N/A</v>
      </c>
      <c r="G87" s="35" t="e">
        <f>MATCH(Tableau6[Jours Mois]&amp;"/"&amp;Tableau6[[#Headers],[2022]],tabSuiviConso[Jour Mois Année],0)</f>
        <v>#N/A</v>
      </c>
      <c r="H87" s="35" t="str">
        <f>IF(ISNA(Tableau6[[#This Row],[Position 2022]]),"",INDEX(tabSuiviConso[HP + HC
cumul],Tableau6[[#This Row],[Position 2022]],1))</f>
        <v/>
      </c>
      <c r="I87" s="56" t="e">
        <f>IF(ISNA(Tableau6[[#This Row],[Position 2022]]),Tableau6[[#This Row],[Position 2022]],Tableau6[[#This Row],[2022]]-H$2)</f>
        <v>#N/A</v>
      </c>
      <c r="J87" s="35" t="e">
        <f>MATCH(Tableau6[Jours Mois]&amp;"/"&amp;Tableau6[[#Headers],[2023]],tabSuiviConso[Jour Mois Année],0)</f>
        <v>#N/A</v>
      </c>
      <c r="K87" s="35" t="e">
        <f>Tableau6[[#This Row],[Cumul 2022]]-Tableau6[[#This Row],[Cumul 2021]]</f>
        <v>#N/A</v>
      </c>
      <c r="L87" s="37" t="e">
        <f>Tableau6[[#This Row],[Ecart 2021 2022]]/Tableau6[[#This Row],[Cumul 2021]]</f>
        <v>#N/A</v>
      </c>
      <c r="M87" s="35" t="str">
        <f>IF(ISNA(Tableau6[[#This Row],[Position 2023]]),"",INDEX(tabSuiviConso[HP + HC
cumul],Tableau6[[#This Row],[Position 2023]],1))</f>
        <v/>
      </c>
      <c r="N87" s="56" t="e">
        <f>IF(ISNA(Tableau6[[#This Row],[Position 2023]]),Tableau6[[#This Row],[Position 2023]],Tableau6[[#This Row],[2023]]-M$2)</f>
        <v>#N/A</v>
      </c>
      <c r="O87" s="35" t="e">
        <f>Tableau6[[#This Row],[Cumul 2023]]-Tableau6[[#This Row],[Cumul 2022]]</f>
        <v>#N/A</v>
      </c>
      <c r="P87" s="37" t="e">
        <f>Tableau6[[#This Row],[Ecart 2022 2023]]/Tableau6[[#This Row],[Cumul 2022]]</f>
        <v>#N/A</v>
      </c>
      <c r="Q87" s="35" t="e">
        <f>MATCH(Tableau6[Jours Mois]&amp;"/"&amp;Tableau6[[#Headers],[2024]],tabSuiviConso[Jour Mois Année],0)</f>
        <v>#N/A</v>
      </c>
      <c r="R87" s="35" t="str">
        <f>IF(ISNA(Tableau6[[#This Row],[Position 2024]]),"",INDEX(tabSuiviConso[HP + HC
cumul],Tableau6[[#This Row],[Position 2024]],1))</f>
        <v/>
      </c>
      <c r="S87" s="56" t="e">
        <f>IF(ISNA(Tableau6[[#This Row],[Position 2024]]),Tableau6[[#This Row],[Position 2024]],Tableau6[[#This Row],[2024]]-R$2)</f>
        <v>#N/A</v>
      </c>
      <c r="T87" s="35" t="e">
        <f>Tableau6[[#This Row],[Cumul 2024]]-Tableau6[[#This Row],[Cumul 2023]]</f>
        <v>#N/A</v>
      </c>
      <c r="U87" s="36" t="e">
        <f>Tableau6[[#This Row],[Ecart 2023 2024]]/Tableau6[[#This Row],[Cumul 2023]]</f>
        <v>#N/A</v>
      </c>
    </row>
    <row r="88" spans="1:21" x14ac:dyDescent="0.2">
      <c r="A88" s="35">
        <v>3</v>
      </c>
      <c r="B88" s="35">
        <v>26</v>
      </c>
      <c r="C88" s="35" t="str">
        <f>Tableau6[Jour]&amp;"/"&amp;Tableau6[Mois]</f>
        <v>26/3</v>
      </c>
      <c r="D88" s="35" t="e">
        <f>MATCH(Tableau6[Jours Mois]&amp;"/"&amp;Tableau6[[#Headers],[2021]],tabSuiviConso[Jour Mois Année],0)</f>
        <v>#N/A</v>
      </c>
      <c r="E88" s="35" t="str">
        <f>IF(ISNA(Tableau6[[#This Row],[Position 2021]]),"",INDEX(tabSuiviConso[HP + HC
cumul],Tableau6[[#This Row],[Position 2021]],1))</f>
        <v/>
      </c>
      <c r="F88" s="56" t="e">
        <f>IF(ISNA(Tableau6[[#This Row],[Position 2021]]),Tableau6[[#This Row],[Position 2021]],Tableau6[[#This Row],[2021]]-E$2)</f>
        <v>#N/A</v>
      </c>
      <c r="G88" s="35" t="e">
        <f>MATCH(Tableau6[Jours Mois]&amp;"/"&amp;Tableau6[[#Headers],[2022]],tabSuiviConso[Jour Mois Année],0)</f>
        <v>#N/A</v>
      </c>
      <c r="H88" s="35" t="str">
        <f>IF(ISNA(Tableau6[[#This Row],[Position 2022]]),"",INDEX(tabSuiviConso[HP + HC
cumul],Tableau6[[#This Row],[Position 2022]],1))</f>
        <v/>
      </c>
      <c r="I88" s="56" t="e">
        <f>IF(ISNA(Tableau6[[#This Row],[Position 2022]]),Tableau6[[#This Row],[Position 2022]],Tableau6[[#This Row],[2022]]-H$2)</f>
        <v>#N/A</v>
      </c>
      <c r="J88" s="35" t="e">
        <f>MATCH(Tableau6[Jours Mois]&amp;"/"&amp;Tableau6[[#Headers],[2023]],tabSuiviConso[Jour Mois Année],0)</f>
        <v>#N/A</v>
      </c>
      <c r="K88" s="35" t="e">
        <f>Tableau6[[#This Row],[Cumul 2022]]-Tableau6[[#This Row],[Cumul 2021]]</f>
        <v>#N/A</v>
      </c>
      <c r="L88" s="37" t="e">
        <f>Tableau6[[#This Row],[Ecart 2021 2022]]/Tableau6[[#This Row],[Cumul 2021]]</f>
        <v>#N/A</v>
      </c>
      <c r="M88" s="35" t="str">
        <f>IF(ISNA(Tableau6[[#This Row],[Position 2023]]),"",INDEX(tabSuiviConso[HP + HC
cumul],Tableau6[[#This Row],[Position 2023]],1))</f>
        <v/>
      </c>
      <c r="N88" s="56" t="e">
        <f>IF(ISNA(Tableau6[[#This Row],[Position 2023]]),Tableau6[[#This Row],[Position 2023]],Tableau6[[#This Row],[2023]]-M$2)</f>
        <v>#N/A</v>
      </c>
      <c r="O88" s="35" t="e">
        <f>Tableau6[[#This Row],[Cumul 2023]]-Tableau6[[#This Row],[Cumul 2022]]</f>
        <v>#N/A</v>
      </c>
      <c r="P88" s="37" t="e">
        <f>Tableau6[[#This Row],[Ecart 2022 2023]]/Tableau6[[#This Row],[Cumul 2022]]</f>
        <v>#N/A</v>
      </c>
      <c r="Q88" s="35" t="e">
        <f>MATCH(Tableau6[Jours Mois]&amp;"/"&amp;Tableau6[[#Headers],[2024]],tabSuiviConso[Jour Mois Année],0)</f>
        <v>#N/A</v>
      </c>
      <c r="R88" s="35" t="str">
        <f>IF(ISNA(Tableau6[[#This Row],[Position 2024]]),"",INDEX(tabSuiviConso[HP + HC
cumul],Tableau6[[#This Row],[Position 2024]],1))</f>
        <v/>
      </c>
      <c r="S88" s="56" t="e">
        <f>IF(ISNA(Tableau6[[#This Row],[Position 2024]]),Tableau6[[#This Row],[Position 2024]],Tableau6[[#This Row],[2024]]-R$2)</f>
        <v>#N/A</v>
      </c>
      <c r="T88" s="35" t="e">
        <f>Tableau6[[#This Row],[Cumul 2024]]-Tableau6[[#This Row],[Cumul 2023]]</f>
        <v>#N/A</v>
      </c>
      <c r="U88" s="36" t="e">
        <f>Tableau6[[#This Row],[Ecart 2023 2024]]/Tableau6[[#This Row],[Cumul 2023]]</f>
        <v>#N/A</v>
      </c>
    </row>
    <row r="89" spans="1:21" x14ac:dyDescent="0.2">
      <c r="A89" s="35">
        <v>3</v>
      </c>
      <c r="B89" s="35">
        <v>27</v>
      </c>
      <c r="C89" s="35" t="str">
        <f>Tableau6[Jour]&amp;"/"&amp;Tableau6[Mois]</f>
        <v>27/3</v>
      </c>
      <c r="D89" s="35" t="e">
        <f>MATCH(Tableau6[Jours Mois]&amp;"/"&amp;Tableau6[[#Headers],[2021]],tabSuiviConso[Jour Mois Année],0)</f>
        <v>#N/A</v>
      </c>
      <c r="E89" s="35" t="str">
        <f>IF(ISNA(Tableau6[[#This Row],[Position 2021]]),"",INDEX(tabSuiviConso[HP + HC
cumul],Tableau6[[#This Row],[Position 2021]],1))</f>
        <v/>
      </c>
      <c r="F89" s="56" t="e">
        <f>IF(ISNA(Tableau6[[#This Row],[Position 2021]]),Tableau6[[#This Row],[Position 2021]],Tableau6[[#This Row],[2021]]-E$2)</f>
        <v>#N/A</v>
      </c>
      <c r="G89" s="35" t="e">
        <f>MATCH(Tableau6[Jours Mois]&amp;"/"&amp;Tableau6[[#Headers],[2022]],tabSuiviConso[Jour Mois Année],0)</f>
        <v>#N/A</v>
      </c>
      <c r="H89" s="35" t="str">
        <f>IF(ISNA(Tableau6[[#This Row],[Position 2022]]),"",INDEX(tabSuiviConso[HP + HC
cumul],Tableau6[[#This Row],[Position 2022]],1))</f>
        <v/>
      </c>
      <c r="I89" s="56" t="e">
        <f>IF(ISNA(Tableau6[[#This Row],[Position 2022]]),Tableau6[[#This Row],[Position 2022]],Tableau6[[#This Row],[2022]]-H$2)</f>
        <v>#N/A</v>
      </c>
      <c r="J89" s="35" t="e">
        <f>MATCH(Tableau6[Jours Mois]&amp;"/"&amp;Tableau6[[#Headers],[2023]],tabSuiviConso[Jour Mois Année],0)</f>
        <v>#N/A</v>
      </c>
      <c r="K89" s="35" t="e">
        <f>Tableau6[[#This Row],[Cumul 2022]]-Tableau6[[#This Row],[Cumul 2021]]</f>
        <v>#N/A</v>
      </c>
      <c r="L89" s="37" t="e">
        <f>Tableau6[[#This Row],[Ecart 2021 2022]]/Tableau6[[#This Row],[Cumul 2021]]</f>
        <v>#N/A</v>
      </c>
      <c r="M89" s="35" t="str">
        <f>IF(ISNA(Tableau6[[#This Row],[Position 2023]]),"",INDEX(tabSuiviConso[HP + HC
cumul],Tableau6[[#This Row],[Position 2023]],1))</f>
        <v/>
      </c>
      <c r="N89" s="56" t="e">
        <f>IF(ISNA(Tableau6[[#This Row],[Position 2023]]),Tableau6[[#This Row],[Position 2023]],Tableau6[[#This Row],[2023]]-M$2)</f>
        <v>#N/A</v>
      </c>
      <c r="O89" s="35" t="e">
        <f>Tableau6[[#This Row],[Cumul 2023]]-Tableau6[[#This Row],[Cumul 2022]]</f>
        <v>#N/A</v>
      </c>
      <c r="P89" s="37" t="e">
        <f>Tableau6[[#This Row],[Ecart 2022 2023]]/Tableau6[[#This Row],[Cumul 2022]]</f>
        <v>#N/A</v>
      </c>
      <c r="Q89" s="35" t="e">
        <f>MATCH(Tableau6[Jours Mois]&amp;"/"&amp;Tableau6[[#Headers],[2024]],tabSuiviConso[Jour Mois Année],0)</f>
        <v>#N/A</v>
      </c>
      <c r="R89" s="35" t="str">
        <f>IF(ISNA(Tableau6[[#This Row],[Position 2024]]),"",INDEX(tabSuiviConso[HP + HC
cumul],Tableau6[[#This Row],[Position 2024]],1))</f>
        <v/>
      </c>
      <c r="S89" s="56" t="e">
        <f>IF(ISNA(Tableau6[[#This Row],[Position 2024]]),Tableau6[[#This Row],[Position 2024]],Tableau6[[#This Row],[2024]]-R$2)</f>
        <v>#N/A</v>
      </c>
      <c r="T89" s="35" t="e">
        <f>Tableau6[[#This Row],[Cumul 2024]]-Tableau6[[#This Row],[Cumul 2023]]</f>
        <v>#N/A</v>
      </c>
      <c r="U89" s="36" t="e">
        <f>Tableau6[[#This Row],[Ecart 2023 2024]]/Tableau6[[#This Row],[Cumul 2023]]</f>
        <v>#N/A</v>
      </c>
    </row>
    <row r="90" spans="1:21" x14ac:dyDescent="0.2">
      <c r="A90" s="35">
        <v>3</v>
      </c>
      <c r="B90" s="35">
        <v>28</v>
      </c>
      <c r="C90" s="35" t="str">
        <f>Tableau6[Jour]&amp;"/"&amp;Tableau6[Mois]</f>
        <v>28/3</v>
      </c>
      <c r="D90" s="35" t="e">
        <f>MATCH(Tableau6[Jours Mois]&amp;"/"&amp;Tableau6[[#Headers],[2021]],tabSuiviConso[Jour Mois Année],0)</f>
        <v>#N/A</v>
      </c>
      <c r="E90" s="35" t="str">
        <f>IF(ISNA(Tableau6[[#This Row],[Position 2021]]),"",INDEX(tabSuiviConso[HP + HC
cumul],Tableau6[[#This Row],[Position 2021]],1))</f>
        <v/>
      </c>
      <c r="F90" s="56" t="e">
        <f>IF(ISNA(Tableau6[[#This Row],[Position 2021]]),Tableau6[[#This Row],[Position 2021]],Tableau6[[#This Row],[2021]]-E$2)</f>
        <v>#N/A</v>
      </c>
      <c r="G90" s="35" t="e">
        <f>MATCH(Tableau6[Jours Mois]&amp;"/"&amp;Tableau6[[#Headers],[2022]],tabSuiviConso[Jour Mois Année],0)</f>
        <v>#N/A</v>
      </c>
      <c r="H90" s="35" t="str">
        <f>IF(ISNA(Tableau6[[#This Row],[Position 2022]]),"",INDEX(tabSuiviConso[HP + HC
cumul],Tableau6[[#This Row],[Position 2022]],1))</f>
        <v/>
      </c>
      <c r="I90" s="56" t="e">
        <f>IF(ISNA(Tableau6[[#This Row],[Position 2022]]),Tableau6[[#This Row],[Position 2022]],Tableau6[[#This Row],[2022]]-H$2)</f>
        <v>#N/A</v>
      </c>
      <c r="J90" s="35" t="e">
        <f>MATCH(Tableau6[Jours Mois]&amp;"/"&amp;Tableau6[[#Headers],[2023]],tabSuiviConso[Jour Mois Année],0)</f>
        <v>#N/A</v>
      </c>
      <c r="K90" s="35" t="e">
        <f>Tableau6[[#This Row],[Cumul 2022]]-Tableau6[[#This Row],[Cumul 2021]]</f>
        <v>#N/A</v>
      </c>
      <c r="L90" s="37" t="e">
        <f>Tableau6[[#This Row],[Ecart 2021 2022]]/Tableau6[[#This Row],[Cumul 2021]]</f>
        <v>#N/A</v>
      </c>
      <c r="M90" s="35" t="str">
        <f>IF(ISNA(Tableau6[[#This Row],[Position 2023]]),"",INDEX(tabSuiviConso[HP + HC
cumul],Tableau6[[#This Row],[Position 2023]],1))</f>
        <v/>
      </c>
      <c r="N90" s="56" t="e">
        <f>IF(ISNA(Tableau6[[#This Row],[Position 2023]]),Tableau6[[#This Row],[Position 2023]],Tableau6[[#This Row],[2023]]-M$2)</f>
        <v>#N/A</v>
      </c>
      <c r="O90" s="35" t="e">
        <f>Tableau6[[#This Row],[Cumul 2023]]-Tableau6[[#This Row],[Cumul 2022]]</f>
        <v>#N/A</v>
      </c>
      <c r="P90" s="37" t="e">
        <f>Tableau6[[#This Row],[Ecart 2022 2023]]/Tableau6[[#This Row],[Cumul 2022]]</f>
        <v>#N/A</v>
      </c>
      <c r="Q90" s="35" t="e">
        <f>MATCH(Tableau6[Jours Mois]&amp;"/"&amp;Tableau6[[#Headers],[2024]],tabSuiviConso[Jour Mois Année],0)</f>
        <v>#N/A</v>
      </c>
      <c r="R90" s="35" t="str">
        <f>IF(ISNA(Tableau6[[#This Row],[Position 2024]]),"",INDEX(tabSuiviConso[HP + HC
cumul],Tableau6[[#This Row],[Position 2024]],1))</f>
        <v/>
      </c>
      <c r="S90" s="56" t="e">
        <f>IF(ISNA(Tableau6[[#This Row],[Position 2024]]),Tableau6[[#This Row],[Position 2024]],Tableau6[[#This Row],[2024]]-R$2)</f>
        <v>#N/A</v>
      </c>
      <c r="T90" s="35" t="e">
        <f>Tableau6[[#This Row],[Cumul 2024]]-Tableau6[[#This Row],[Cumul 2023]]</f>
        <v>#N/A</v>
      </c>
      <c r="U90" s="36" t="e">
        <f>Tableau6[[#This Row],[Ecart 2023 2024]]/Tableau6[[#This Row],[Cumul 2023]]</f>
        <v>#N/A</v>
      </c>
    </row>
    <row r="91" spans="1:21" x14ac:dyDescent="0.2">
      <c r="A91" s="35">
        <v>3</v>
      </c>
      <c r="B91" s="35">
        <v>29</v>
      </c>
      <c r="C91" s="35" t="str">
        <f>Tableau6[Jour]&amp;"/"&amp;Tableau6[Mois]</f>
        <v>29/3</v>
      </c>
      <c r="D91" s="35" t="e">
        <f>MATCH(Tableau6[Jours Mois]&amp;"/"&amp;Tableau6[[#Headers],[2021]],tabSuiviConso[Jour Mois Année],0)</f>
        <v>#N/A</v>
      </c>
      <c r="E91" s="35" t="str">
        <f>IF(ISNA(Tableau6[[#This Row],[Position 2021]]),"",INDEX(tabSuiviConso[HP + HC
cumul],Tableau6[[#This Row],[Position 2021]],1))</f>
        <v/>
      </c>
      <c r="F91" s="56" t="e">
        <f>IF(ISNA(Tableau6[[#This Row],[Position 2021]]),Tableau6[[#This Row],[Position 2021]],Tableau6[[#This Row],[2021]]-E$2)</f>
        <v>#N/A</v>
      </c>
      <c r="G91" s="35" t="e">
        <f>MATCH(Tableau6[Jours Mois]&amp;"/"&amp;Tableau6[[#Headers],[2022]],tabSuiviConso[Jour Mois Année],0)</f>
        <v>#N/A</v>
      </c>
      <c r="H91" s="35" t="str">
        <f>IF(ISNA(Tableau6[[#This Row],[Position 2022]]),"",INDEX(tabSuiviConso[HP + HC
cumul],Tableau6[[#This Row],[Position 2022]],1))</f>
        <v/>
      </c>
      <c r="I91" s="56" t="e">
        <f>IF(ISNA(Tableau6[[#This Row],[Position 2022]]),Tableau6[[#This Row],[Position 2022]],Tableau6[[#This Row],[2022]]-H$2)</f>
        <v>#N/A</v>
      </c>
      <c r="J91" s="35" t="e">
        <f>MATCH(Tableau6[Jours Mois]&amp;"/"&amp;Tableau6[[#Headers],[2023]],tabSuiviConso[Jour Mois Année],0)</f>
        <v>#N/A</v>
      </c>
      <c r="K91" s="35" t="e">
        <f>Tableau6[[#This Row],[Cumul 2022]]-Tableau6[[#This Row],[Cumul 2021]]</f>
        <v>#N/A</v>
      </c>
      <c r="L91" s="37" t="e">
        <f>Tableau6[[#This Row],[Ecart 2021 2022]]/Tableau6[[#This Row],[Cumul 2021]]</f>
        <v>#N/A</v>
      </c>
      <c r="M91" s="35" t="str">
        <f>IF(ISNA(Tableau6[[#This Row],[Position 2023]]),"",INDEX(tabSuiviConso[HP + HC
cumul],Tableau6[[#This Row],[Position 2023]],1))</f>
        <v/>
      </c>
      <c r="N91" s="56" t="e">
        <f>IF(ISNA(Tableau6[[#This Row],[Position 2023]]),Tableau6[[#This Row],[Position 2023]],Tableau6[[#This Row],[2023]]-M$2)</f>
        <v>#N/A</v>
      </c>
      <c r="O91" s="35" t="e">
        <f>Tableau6[[#This Row],[Cumul 2023]]-Tableau6[[#This Row],[Cumul 2022]]</f>
        <v>#N/A</v>
      </c>
      <c r="P91" s="37" t="e">
        <f>Tableau6[[#This Row],[Ecart 2022 2023]]/Tableau6[[#This Row],[Cumul 2022]]</f>
        <v>#N/A</v>
      </c>
      <c r="Q91" s="35" t="e">
        <f>MATCH(Tableau6[Jours Mois]&amp;"/"&amp;Tableau6[[#Headers],[2024]],tabSuiviConso[Jour Mois Année],0)</f>
        <v>#N/A</v>
      </c>
      <c r="R91" s="35" t="str">
        <f>IF(ISNA(Tableau6[[#This Row],[Position 2024]]),"",INDEX(tabSuiviConso[HP + HC
cumul],Tableau6[[#This Row],[Position 2024]],1))</f>
        <v/>
      </c>
      <c r="S91" s="56" t="e">
        <f>IF(ISNA(Tableau6[[#This Row],[Position 2024]]),Tableau6[[#This Row],[Position 2024]],Tableau6[[#This Row],[2024]]-R$2)</f>
        <v>#N/A</v>
      </c>
      <c r="T91" s="35" t="e">
        <f>Tableau6[[#This Row],[Cumul 2024]]-Tableau6[[#This Row],[Cumul 2023]]</f>
        <v>#N/A</v>
      </c>
      <c r="U91" s="36" t="e">
        <f>Tableau6[[#This Row],[Ecart 2023 2024]]/Tableau6[[#This Row],[Cumul 2023]]</f>
        <v>#N/A</v>
      </c>
    </row>
    <row r="92" spans="1:21" x14ac:dyDescent="0.2">
      <c r="A92" s="35">
        <v>3</v>
      </c>
      <c r="B92" s="35">
        <v>30</v>
      </c>
      <c r="C92" s="35" t="str">
        <f>Tableau6[Jour]&amp;"/"&amp;Tableau6[Mois]</f>
        <v>30/3</v>
      </c>
      <c r="D92" s="35" t="e">
        <f>MATCH(Tableau6[Jours Mois]&amp;"/"&amp;Tableau6[[#Headers],[2021]],tabSuiviConso[Jour Mois Année],0)</f>
        <v>#N/A</v>
      </c>
      <c r="E92" s="35" t="str">
        <f>IF(ISNA(Tableau6[[#This Row],[Position 2021]]),"",INDEX(tabSuiviConso[HP + HC
cumul],Tableau6[[#This Row],[Position 2021]],1))</f>
        <v/>
      </c>
      <c r="F92" s="56" t="e">
        <f>IF(ISNA(Tableau6[[#This Row],[Position 2021]]),Tableau6[[#This Row],[Position 2021]],Tableau6[[#This Row],[2021]]-E$2)</f>
        <v>#N/A</v>
      </c>
      <c r="G92" s="35" t="e">
        <f>MATCH(Tableau6[Jours Mois]&amp;"/"&amp;Tableau6[[#Headers],[2022]],tabSuiviConso[Jour Mois Année],0)</f>
        <v>#N/A</v>
      </c>
      <c r="H92" s="35" t="str">
        <f>IF(ISNA(Tableau6[[#This Row],[Position 2022]]),"",INDEX(tabSuiviConso[HP + HC
cumul],Tableau6[[#This Row],[Position 2022]],1))</f>
        <v/>
      </c>
      <c r="I92" s="56" t="e">
        <f>IF(ISNA(Tableau6[[#This Row],[Position 2022]]),Tableau6[[#This Row],[Position 2022]],Tableau6[[#This Row],[2022]]-H$2)</f>
        <v>#N/A</v>
      </c>
      <c r="J92" s="35" t="e">
        <f>MATCH(Tableau6[Jours Mois]&amp;"/"&amp;Tableau6[[#Headers],[2023]],tabSuiviConso[Jour Mois Année],0)</f>
        <v>#N/A</v>
      </c>
      <c r="K92" s="35" t="e">
        <f>Tableau6[[#This Row],[Cumul 2022]]-Tableau6[[#This Row],[Cumul 2021]]</f>
        <v>#N/A</v>
      </c>
      <c r="L92" s="37" t="e">
        <f>Tableau6[[#This Row],[Ecart 2021 2022]]/Tableau6[[#This Row],[Cumul 2021]]</f>
        <v>#N/A</v>
      </c>
      <c r="M92" s="35" t="str">
        <f>IF(ISNA(Tableau6[[#This Row],[Position 2023]]),"",INDEX(tabSuiviConso[HP + HC
cumul],Tableau6[[#This Row],[Position 2023]],1))</f>
        <v/>
      </c>
      <c r="N92" s="56" t="e">
        <f>IF(ISNA(Tableau6[[#This Row],[Position 2023]]),Tableau6[[#This Row],[Position 2023]],Tableau6[[#This Row],[2023]]-M$2)</f>
        <v>#N/A</v>
      </c>
      <c r="O92" s="35" t="e">
        <f>Tableau6[[#This Row],[Cumul 2023]]-Tableau6[[#This Row],[Cumul 2022]]</f>
        <v>#N/A</v>
      </c>
      <c r="P92" s="37" t="e">
        <f>Tableau6[[#This Row],[Ecart 2022 2023]]/Tableau6[[#This Row],[Cumul 2022]]</f>
        <v>#N/A</v>
      </c>
      <c r="Q92" s="35" t="e">
        <f>MATCH(Tableau6[Jours Mois]&amp;"/"&amp;Tableau6[[#Headers],[2024]],tabSuiviConso[Jour Mois Année],0)</f>
        <v>#N/A</v>
      </c>
      <c r="R92" s="35" t="str">
        <f>IF(ISNA(Tableau6[[#This Row],[Position 2024]]),"",INDEX(tabSuiviConso[HP + HC
cumul],Tableau6[[#This Row],[Position 2024]],1))</f>
        <v/>
      </c>
      <c r="S92" s="56" t="e">
        <f>IF(ISNA(Tableau6[[#This Row],[Position 2024]]),Tableau6[[#This Row],[Position 2024]],Tableau6[[#This Row],[2024]]-R$2)</f>
        <v>#N/A</v>
      </c>
      <c r="T92" s="35" t="e">
        <f>Tableau6[[#This Row],[Cumul 2024]]-Tableau6[[#This Row],[Cumul 2023]]</f>
        <v>#N/A</v>
      </c>
      <c r="U92" s="36" t="e">
        <f>Tableau6[[#This Row],[Ecart 2023 2024]]/Tableau6[[#This Row],[Cumul 2023]]</f>
        <v>#N/A</v>
      </c>
    </row>
    <row r="93" spans="1:21" x14ac:dyDescent="0.2">
      <c r="A93" s="35">
        <v>3</v>
      </c>
      <c r="B93" s="35">
        <v>31</v>
      </c>
      <c r="C93" s="35" t="str">
        <f>Tableau6[Jour]&amp;"/"&amp;Tableau6[Mois]</f>
        <v>31/3</v>
      </c>
      <c r="D93" s="35" t="e">
        <f>MATCH(Tableau6[Jours Mois]&amp;"/"&amp;Tableau6[[#Headers],[2021]],tabSuiviConso[Jour Mois Année],0)</f>
        <v>#N/A</v>
      </c>
      <c r="E93" s="35" t="str">
        <f>IF(ISNA(Tableau6[[#This Row],[Position 2021]]),"",INDEX(tabSuiviConso[HP + HC
cumul],Tableau6[[#This Row],[Position 2021]],1))</f>
        <v/>
      </c>
      <c r="F93" s="56" t="e">
        <f>IF(ISNA(Tableau6[[#This Row],[Position 2021]]),Tableau6[[#This Row],[Position 2021]],Tableau6[[#This Row],[2021]]-E$2)</f>
        <v>#N/A</v>
      </c>
      <c r="G93" s="35" t="e">
        <f>MATCH(Tableau6[Jours Mois]&amp;"/"&amp;Tableau6[[#Headers],[2022]],tabSuiviConso[Jour Mois Année],0)</f>
        <v>#N/A</v>
      </c>
      <c r="H93" s="35" t="str">
        <f>IF(ISNA(Tableau6[[#This Row],[Position 2022]]),"",INDEX(tabSuiviConso[HP + HC
cumul],Tableau6[[#This Row],[Position 2022]],1))</f>
        <v/>
      </c>
      <c r="I93" s="56" t="e">
        <f>IF(ISNA(Tableau6[[#This Row],[Position 2022]]),Tableau6[[#This Row],[Position 2022]],Tableau6[[#This Row],[2022]]-H$2)</f>
        <v>#N/A</v>
      </c>
      <c r="J93" s="35" t="e">
        <f>MATCH(Tableau6[Jours Mois]&amp;"/"&amp;Tableau6[[#Headers],[2023]],tabSuiviConso[Jour Mois Année],0)</f>
        <v>#N/A</v>
      </c>
      <c r="K93" s="35" t="e">
        <f>Tableau6[[#This Row],[Cumul 2022]]-Tableau6[[#This Row],[Cumul 2021]]</f>
        <v>#N/A</v>
      </c>
      <c r="L93" s="37" t="e">
        <f>Tableau6[[#This Row],[Ecart 2021 2022]]/Tableau6[[#This Row],[Cumul 2021]]</f>
        <v>#N/A</v>
      </c>
      <c r="M93" s="35" t="str">
        <f>IF(ISNA(Tableau6[[#This Row],[Position 2023]]),"",INDEX(tabSuiviConso[HP + HC
cumul],Tableau6[[#This Row],[Position 2023]],1))</f>
        <v/>
      </c>
      <c r="N93" s="56" t="e">
        <f>IF(ISNA(Tableau6[[#This Row],[Position 2023]]),Tableau6[[#This Row],[Position 2023]],Tableau6[[#This Row],[2023]]-M$2)</f>
        <v>#N/A</v>
      </c>
      <c r="O93" s="35" t="e">
        <f>Tableau6[[#This Row],[Cumul 2023]]-Tableau6[[#This Row],[Cumul 2022]]</f>
        <v>#N/A</v>
      </c>
      <c r="P93" s="37" t="e">
        <f>Tableau6[[#This Row],[Ecart 2022 2023]]/Tableau6[[#This Row],[Cumul 2022]]</f>
        <v>#N/A</v>
      </c>
      <c r="Q93" s="35" t="e">
        <f>MATCH(Tableau6[Jours Mois]&amp;"/"&amp;Tableau6[[#Headers],[2024]],tabSuiviConso[Jour Mois Année],0)</f>
        <v>#N/A</v>
      </c>
      <c r="R93" s="35" t="str">
        <f>IF(ISNA(Tableau6[[#This Row],[Position 2024]]),"",INDEX(tabSuiviConso[HP + HC
cumul],Tableau6[[#This Row],[Position 2024]],1))</f>
        <v/>
      </c>
      <c r="S93" s="56" t="e">
        <f>IF(ISNA(Tableau6[[#This Row],[Position 2024]]),Tableau6[[#This Row],[Position 2024]],Tableau6[[#This Row],[2024]]-R$2)</f>
        <v>#N/A</v>
      </c>
      <c r="T93" s="35" t="e">
        <f>Tableau6[[#This Row],[Cumul 2024]]-Tableau6[[#This Row],[Cumul 2023]]</f>
        <v>#N/A</v>
      </c>
      <c r="U93" s="36" t="e">
        <f>Tableau6[[#This Row],[Ecart 2023 2024]]/Tableau6[[#This Row],[Cumul 2023]]</f>
        <v>#N/A</v>
      </c>
    </row>
    <row r="94" spans="1:21" x14ac:dyDescent="0.2">
      <c r="A94" s="35">
        <v>4</v>
      </c>
      <c r="B94" s="35">
        <v>1</v>
      </c>
      <c r="C94" s="35" t="str">
        <f>Tableau6[Jour]&amp;"/"&amp;Tableau6[Mois]</f>
        <v>1/4</v>
      </c>
      <c r="D94" s="35" t="e">
        <f>MATCH(Tableau6[Jours Mois]&amp;"/"&amp;Tableau6[[#Headers],[2021]],tabSuiviConso[Jour Mois Année],0)</f>
        <v>#N/A</v>
      </c>
      <c r="E94" s="35" t="str">
        <f>IF(ISNA(Tableau6[[#This Row],[Position 2021]]),"",INDEX(tabSuiviConso[HP + HC
cumul],Tableau6[[#This Row],[Position 2021]],1))</f>
        <v/>
      </c>
      <c r="F94" s="56" t="e">
        <f>IF(ISNA(Tableau6[[#This Row],[Position 2021]]),Tableau6[[#This Row],[Position 2021]],Tableau6[[#This Row],[2021]]-E$2)</f>
        <v>#N/A</v>
      </c>
      <c r="G94" s="35" t="e">
        <f>MATCH(Tableau6[Jours Mois]&amp;"/"&amp;Tableau6[[#Headers],[2022]],tabSuiviConso[Jour Mois Année],0)</f>
        <v>#N/A</v>
      </c>
      <c r="H94" s="35" t="str">
        <f>IF(ISNA(Tableau6[[#This Row],[Position 2022]]),"",INDEX(tabSuiviConso[HP + HC
cumul],Tableau6[[#This Row],[Position 2022]],1))</f>
        <v/>
      </c>
      <c r="I94" s="56" t="e">
        <f>IF(ISNA(Tableau6[[#This Row],[Position 2022]]),Tableau6[[#This Row],[Position 2022]],Tableau6[[#This Row],[2022]]-H$2)</f>
        <v>#N/A</v>
      </c>
      <c r="J94" s="35" t="e">
        <f>MATCH(Tableau6[Jours Mois]&amp;"/"&amp;Tableau6[[#Headers],[2023]],tabSuiviConso[Jour Mois Année],0)</f>
        <v>#N/A</v>
      </c>
      <c r="K94" s="35" t="e">
        <f>Tableau6[[#This Row],[Cumul 2022]]-Tableau6[[#This Row],[Cumul 2021]]</f>
        <v>#N/A</v>
      </c>
      <c r="L94" s="37" t="e">
        <f>Tableau6[[#This Row],[Ecart 2021 2022]]/Tableau6[[#This Row],[Cumul 2021]]</f>
        <v>#N/A</v>
      </c>
      <c r="M94" s="35" t="str">
        <f>IF(ISNA(Tableau6[[#This Row],[Position 2023]]),"",INDEX(tabSuiviConso[HP + HC
cumul],Tableau6[[#This Row],[Position 2023]],1))</f>
        <v/>
      </c>
      <c r="N94" s="56" t="e">
        <f>IF(ISNA(Tableau6[[#This Row],[Position 2023]]),Tableau6[[#This Row],[Position 2023]],Tableau6[[#This Row],[2023]]-M$2)</f>
        <v>#N/A</v>
      </c>
      <c r="O94" s="35" t="e">
        <f>Tableau6[[#This Row],[Cumul 2023]]-Tableau6[[#This Row],[Cumul 2022]]</f>
        <v>#N/A</v>
      </c>
      <c r="P94" s="37" t="e">
        <f>Tableau6[[#This Row],[Ecart 2022 2023]]/Tableau6[[#This Row],[Cumul 2022]]</f>
        <v>#N/A</v>
      </c>
      <c r="Q94" s="35" t="e">
        <f>MATCH(Tableau6[Jours Mois]&amp;"/"&amp;Tableau6[[#Headers],[2024]],tabSuiviConso[Jour Mois Année],0)</f>
        <v>#N/A</v>
      </c>
      <c r="R94" s="35" t="str">
        <f>IF(ISNA(Tableau6[[#This Row],[Position 2024]]),"",INDEX(tabSuiviConso[HP + HC
cumul],Tableau6[[#This Row],[Position 2024]],1))</f>
        <v/>
      </c>
      <c r="S94" s="56" t="e">
        <f>IF(ISNA(Tableau6[[#This Row],[Position 2024]]),Tableau6[[#This Row],[Position 2024]],Tableau6[[#This Row],[2024]]-R$2)</f>
        <v>#N/A</v>
      </c>
      <c r="T94" s="35" t="e">
        <f>Tableau6[[#This Row],[Cumul 2024]]-Tableau6[[#This Row],[Cumul 2023]]</f>
        <v>#N/A</v>
      </c>
      <c r="U94" s="36" t="e">
        <f>Tableau6[[#This Row],[Ecart 2023 2024]]/Tableau6[[#This Row],[Cumul 2023]]</f>
        <v>#N/A</v>
      </c>
    </row>
    <row r="95" spans="1:21" x14ac:dyDescent="0.2">
      <c r="A95" s="35">
        <v>4</v>
      </c>
      <c r="B95" s="35">
        <v>2</v>
      </c>
      <c r="C95" s="35" t="str">
        <f>Tableau6[Jour]&amp;"/"&amp;Tableau6[Mois]</f>
        <v>2/4</v>
      </c>
      <c r="D95" s="35" t="e">
        <f>MATCH(Tableau6[Jours Mois]&amp;"/"&amp;Tableau6[[#Headers],[2021]],tabSuiviConso[Jour Mois Année],0)</f>
        <v>#N/A</v>
      </c>
      <c r="E95" s="35" t="str">
        <f>IF(ISNA(Tableau6[[#This Row],[Position 2021]]),"",INDEX(tabSuiviConso[HP + HC
cumul],Tableau6[[#This Row],[Position 2021]],1))</f>
        <v/>
      </c>
      <c r="F95" s="56" t="e">
        <f>IF(ISNA(Tableau6[[#This Row],[Position 2021]]),Tableau6[[#This Row],[Position 2021]],Tableau6[[#This Row],[2021]]-E$2)</f>
        <v>#N/A</v>
      </c>
      <c r="G95" s="35" t="e">
        <f>MATCH(Tableau6[Jours Mois]&amp;"/"&amp;Tableau6[[#Headers],[2022]],tabSuiviConso[Jour Mois Année],0)</f>
        <v>#N/A</v>
      </c>
      <c r="H95" s="35" t="str">
        <f>IF(ISNA(Tableau6[[#This Row],[Position 2022]]),"",INDEX(tabSuiviConso[HP + HC
cumul],Tableau6[[#This Row],[Position 2022]],1))</f>
        <v/>
      </c>
      <c r="I95" s="56" t="e">
        <f>IF(ISNA(Tableau6[[#This Row],[Position 2022]]),Tableau6[[#This Row],[Position 2022]],Tableau6[[#This Row],[2022]]-H$2)</f>
        <v>#N/A</v>
      </c>
      <c r="J95" s="35" t="e">
        <f>MATCH(Tableau6[Jours Mois]&amp;"/"&amp;Tableau6[[#Headers],[2023]],tabSuiviConso[Jour Mois Année],0)</f>
        <v>#N/A</v>
      </c>
      <c r="K95" s="35" t="e">
        <f>Tableau6[[#This Row],[Cumul 2022]]-Tableau6[[#This Row],[Cumul 2021]]</f>
        <v>#N/A</v>
      </c>
      <c r="L95" s="37" t="e">
        <f>Tableau6[[#This Row],[Ecart 2021 2022]]/Tableau6[[#This Row],[Cumul 2021]]</f>
        <v>#N/A</v>
      </c>
      <c r="M95" s="35" t="str">
        <f>IF(ISNA(Tableau6[[#This Row],[Position 2023]]),"",INDEX(tabSuiviConso[HP + HC
cumul],Tableau6[[#This Row],[Position 2023]],1))</f>
        <v/>
      </c>
      <c r="N95" s="56" t="e">
        <f>IF(ISNA(Tableau6[[#This Row],[Position 2023]]),Tableau6[[#This Row],[Position 2023]],Tableau6[[#This Row],[2023]]-M$2)</f>
        <v>#N/A</v>
      </c>
      <c r="O95" s="35" t="e">
        <f>Tableau6[[#This Row],[Cumul 2023]]-Tableau6[[#This Row],[Cumul 2022]]</f>
        <v>#N/A</v>
      </c>
      <c r="P95" s="37" t="e">
        <f>Tableau6[[#This Row],[Ecart 2022 2023]]/Tableau6[[#This Row],[Cumul 2022]]</f>
        <v>#N/A</v>
      </c>
      <c r="Q95" s="35" t="e">
        <f>MATCH(Tableau6[Jours Mois]&amp;"/"&amp;Tableau6[[#Headers],[2024]],tabSuiviConso[Jour Mois Année],0)</f>
        <v>#N/A</v>
      </c>
      <c r="R95" s="35" t="str">
        <f>IF(ISNA(Tableau6[[#This Row],[Position 2024]]),"",INDEX(tabSuiviConso[HP + HC
cumul],Tableau6[[#This Row],[Position 2024]],1))</f>
        <v/>
      </c>
      <c r="S95" s="56" t="e">
        <f>IF(ISNA(Tableau6[[#This Row],[Position 2024]]),Tableau6[[#This Row],[Position 2024]],Tableau6[[#This Row],[2024]]-R$2)</f>
        <v>#N/A</v>
      </c>
      <c r="T95" s="35" t="e">
        <f>Tableau6[[#This Row],[Cumul 2024]]-Tableau6[[#This Row],[Cumul 2023]]</f>
        <v>#N/A</v>
      </c>
      <c r="U95" s="36" t="e">
        <f>Tableau6[[#This Row],[Ecart 2023 2024]]/Tableau6[[#This Row],[Cumul 2023]]</f>
        <v>#N/A</v>
      </c>
    </row>
    <row r="96" spans="1:21" x14ac:dyDescent="0.2">
      <c r="A96" s="35">
        <v>4</v>
      </c>
      <c r="B96" s="35">
        <v>3</v>
      </c>
      <c r="C96" s="35" t="str">
        <f>Tableau6[Jour]&amp;"/"&amp;Tableau6[Mois]</f>
        <v>3/4</v>
      </c>
      <c r="D96" s="35" t="e">
        <f>MATCH(Tableau6[Jours Mois]&amp;"/"&amp;Tableau6[[#Headers],[2021]],tabSuiviConso[Jour Mois Année],0)</f>
        <v>#N/A</v>
      </c>
      <c r="E96" s="35" t="str">
        <f>IF(ISNA(Tableau6[[#This Row],[Position 2021]]),"",INDEX(tabSuiviConso[HP + HC
cumul],Tableau6[[#This Row],[Position 2021]],1))</f>
        <v/>
      </c>
      <c r="F96" s="56" t="e">
        <f>IF(ISNA(Tableau6[[#This Row],[Position 2021]]),Tableau6[[#This Row],[Position 2021]],Tableau6[[#This Row],[2021]]-E$2)</f>
        <v>#N/A</v>
      </c>
      <c r="G96" s="35" t="e">
        <f>MATCH(Tableau6[Jours Mois]&amp;"/"&amp;Tableau6[[#Headers],[2022]],tabSuiviConso[Jour Mois Année],0)</f>
        <v>#N/A</v>
      </c>
      <c r="H96" s="35" t="str">
        <f>IF(ISNA(Tableau6[[#This Row],[Position 2022]]),"",INDEX(tabSuiviConso[HP + HC
cumul],Tableau6[[#This Row],[Position 2022]],1))</f>
        <v/>
      </c>
      <c r="I96" s="56" t="e">
        <f>IF(ISNA(Tableau6[[#This Row],[Position 2022]]),Tableau6[[#This Row],[Position 2022]],Tableau6[[#This Row],[2022]]-H$2)</f>
        <v>#N/A</v>
      </c>
      <c r="J96" s="35" t="e">
        <f>MATCH(Tableau6[Jours Mois]&amp;"/"&amp;Tableau6[[#Headers],[2023]],tabSuiviConso[Jour Mois Année],0)</f>
        <v>#N/A</v>
      </c>
      <c r="K96" s="35" t="e">
        <f>Tableau6[[#This Row],[Cumul 2022]]-Tableau6[[#This Row],[Cumul 2021]]</f>
        <v>#N/A</v>
      </c>
      <c r="L96" s="37" t="e">
        <f>Tableau6[[#This Row],[Ecart 2021 2022]]/Tableau6[[#This Row],[Cumul 2021]]</f>
        <v>#N/A</v>
      </c>
      <c r="M96" s="35" t="str">
        <f>IF(ISNA(Tableau6[[#This Row],[Position 2023]]),"",INDEX(tabSuiviConso[HP + HC
cumul],Tableau6[[#This Row],[Position 2023]],1))</f>
        <v/>
      </c>
      <c r="N96" s="56" t="e">
        <f>IF(ISNA(Tableau6[[#This Row],[Position 2023]]),Tableau6[[#This Row],[Position 2023]],Tableau6[[#This Row],[2023]]-M$2)</f>
        <v>#N/A</v>
      </c>
      <c r="O96" s="35" t="e">
        <f>Tableau6[[#This Row],[Cumul 2023]]-Tableau6[[#This Row],[Cumul 2022]]</f>
        <v>#N/A</v>
      </c>
      <c r="P96" s="37" t="e">
        <f>Tableau6[[#This Row],[Ecart 2022 2023]]/Tableau6[[#This Row],[Cumul 2022]]</f>
        <v>#N/A</v>
      </c>
      <c r="Q96" s="35" t="e">
        <f>MATCH(Tableau6[Jours Mois]&amp;"/"&amp;Tableau6[[#Headers],[2024]],tabSuiviConso[Jour Mois Année],0)</f>
        <v>#N/A</v>
      </c>
      <c r="R96" s="35" t="str">
        <f>IF(ISNA(Tableau6[[#This Row],[Position 2024]]),"",INDEX(tabSuiviConso[HP + HC
cumul],Tableau6[[#This Row],[Position 2024]],1))</f>
        <v/>
      </c>
      <c r="S96" s="56" t="e">
        <f>IF(ISNA(Tableau6[[#This Row],[Position 2024]]),Tableau6[[#This Row],[Position 2024]],Tableau6[[#This Row],[2024]]-R$2)</f>
        <v>#N/A</v>
      </c>
      <c r="T96" s="35" t="e">
        <f>Tableau6[[#This Row],[Cumul 2024]]-Tableau6[[#This Row],[Cumul 2023]]</f>
        <v>#N/A</v>
      </c>
      <c r="U96" s="36" t="e">
        <f>Tableau6[[#This Row],[Ecart 2023 2024]]/Tableau6[[#This Row],[Cumul 2023]]</f>
        <v>#N/A</v>
      </c>
    </row>
    <row r="97" spans="1:21" x14ac:dyDescent="0.2">
      <c r="A97" s="35">
        <v>4</v>
      </c>
      <c r="B97" s="35">
        <v>4</v>
      </c>
      <c r="C97" s="35" t="str">
        <f>Tableau6[Jour]&amp;"/"&amp;Tableau6[Mois]</f>
        <v>4/4</v>
      </c>
      <c r="D97" s="35" t="e">
        <f>MATCH(Tableau6[Jours Mois]&amp;"/"&amp;Tableau6[[#Headers],[2021]],tabSuiviConso[Jour Mois Année],0)</f>
        <v>#N/A</v>
      </c>
      <c r="E97" s="35" t="str">
        <f>IF(ISNA(Tableau6[[#This Row],[Position 2021]]),"",INDEX(tabSuiviConso[HP + HC
cumul],Tableau6[[#This Row],[Position 2021]],1))</f>
        <v/>
      </c>
      <c r="F97" s="56" t="e">
        <f>IF(ISNA(Tableau6[[#This Row],[Position 2021]]),Tableau6[[#This Row],[Position 2021]],Tableau6[[#This Row],[2021]]-E$2)</f>
        <v>#N/A</v>
      </c>
      <c r="G97" s="35" t="e">
        <f>MATCH(Tableau6[Jours Mois]&amp;"/"&amp;Tableau6[[#Headers],[2022]],tabSuiviConso[Jour Mois Année],0)</f>
        <v>#N/A</v>
      </c>
      <c r="H97" s="35" t="str">
        <f>IF(ISNA(Tableau6[[#This Row],[Position 2022]]),"",INDEX(tabSuiviConso[HP + HC
cumul],Tableau6[[#This Row],[Position 2022]],1))</f>
        <v/>
      </c>
      <c r="I97" s="56" t="e">
        <f>IF(ISNA(Tableau6[[#This Row],[Position 2022]]),Tableau6[[#This Row],[Position 2022]],Tableau6[[#This Row],[2022]]-H$2)</f>
        <v>#N/A</v>
      </c>
      <c r="J97" s="35" t="e">
        <f>MATCH(Tableau6[Jours Mois]&amp;"/"&amp;Tableau6[[#Headers],[2023]],tabSuiviConso[Jour Mois Année],0)</f>
        <v>#N/A</v>
      </c>
      <c r="K97" s="35" t="e">
        <f>Tableau6[[#This Row],[Cumul 2022]]-Tableau6[[#This Row],[Cumul 2021]]</f>
        <v>#N/A</v>
      </c>
      <c r="L97" s="37" t="e">
        <f>Tableau6[[#This Row],[Ecart 2021 2022]]/Tableau6[[#This Row],[Cumul 2021]]</f>
        <v>#N/A</v>
      </c>
      <c r="M97" s="35" t="str">
        <f>IF(ISNA(Tableau6[[#This Row],[Position 2023]]),"",INDEX(tabSuiviConso[HP + HC
cumul],Tableau6[[#This Row],[Position 2023]],1))</f>
        <v/>
      </c>
      <c r="N97" s="56" t="e">
        <f>IF(ISNA(Tableau6[[#This Row],[Position 2023]]),Tableau6[[#This Row],[Position 2023]],Tableau6[[#This Row],[2023]]-M$2)</f>
        <v>#N/A</v>
      </c>
      <c r="O97" s="35" t="e">
        <f>Tableau6[[#This Row],[Cumul 2023]]-Tableau6[[#This Row],[Cumul 2022]]</f>
        <v>#N/A</v>
      </c>
      <c r="P97" s="37" t="e">
        <f>Tableau6[[#This Row],[Ecart 2022 2023]]/Tableau6[[#This Row],[Cumul 2022]]</f>
        <v>#N/A</v>
      </c>
      <c r="Q97" s="35" t="e">
        <f>MATCH(Tableau6[Jours Mois]&amp;"/"&amp;Tableau6[[#Headers],[2024]],tabSuiviConso[Jour Mois Année],0)</f>
        <v>#N/A</v>
      </c>
      <c r="R97" s="35" t="str">
        <f>IF(ISNA(Tableau6[[#This Row],[Position 2024]]),"",INDEX(tabSuiviConso[HP + HC
cumul],Tableau6[[#This Row],[Position 2024]],1))</f>
        <v/>
      </c>
      <c r="S97" s="56" t="e">
        <f>IF(ISNA(Tableau6[[#This Row],[Position 2024]]),Tableau6[[#This Row],[Position 2024]],Tableau6[[#This Row],[2024]]-R$2)</f>
        <v>#N/A</v>
      </c>
      <c r="T97" s="35" t="e">
        <f>Tableau6[[#This Row],[Cumul 2024]]-Tableau6[[#This Row],[Cumul 2023]]</f>
        <v>#N/A</v>
      </c>
      <c r="U97" s="36" t="e">
        <f>Tableau6[[#This Row],[Ecart 2023 2024]]/Tableau6[[#This Row],[Cumul 2023]]</f>
        <v>#N/A</v>
      </c>
    </row>
    <row r="98" spans="1:21" x14ac:dyDescent="0.2">
      <c r="A98" s="35">
        <v>4</v>
      </c>
      <c r="B98" s="35">
        <v>5</v>
      </c>
      <c r="C98" s="35" t="str">
        <f>Tableau6[Jour]&amp;"/"&amp;Tableau6[Mois]</f>
        <v>5/4</v>
      </c>
      <c r="D98" s="35" t="e">
        <f>MATCH(Tableau6[Jours Mois]&amp;"/"&amp;Tableau6[[#Headers],[2021]],tabSuiviConso[Jour Mois Année],0)</f>
        <v>#N/A</v>
      </c>
      <c r="E98" s="35" t="str">
        <f>IF(ISNA(Tableau6[[#This Row],[Position 2021]]),"",INDEX(tabSuiviConso[HP + HC
cumul],Tableau6[[#This Row],[Position 2021]],1))</f>
        <v/>
      </c>
      <c r="F98" s="56" t="e">
        <f>IF(ISNA(Tableau6[[#This Row],[Position 2021]]),Tableau6[[#This Row],[Position 2021]],Tableau6[[#This Row],[2021]]-E$2)</f>
        <v>#N/A</v>
      </c>
      <c r="G98" s="35" t="e">
        <f>MATCH(Tableau6[Jours Mois]&amp;"/"&amp;Tableau6[[#Headers],[2022]],tabSuiviConso[Jour Mois Année],0)</f>
        <v>#N/A</v>
      </c>
      <c r="H98" s="35" t="str">
        <f>IF(ISNA(Tableau6[[#This Row],[Position 2022]]),"",INDEX(tabSuiviConso[HP + HC
cumul],Tableau6[[#This Row],[Position 2022]],1))</f>
        <v/>
      </c>
      <c r="I98" s="56" t="e">
        <f>IF(ISNA(Tableau6[[#This Row],[Position 2022]]),Tableau6[[#This Row],[Position 2022]],Tableau6[[#This Row],[2022]]-H$2)</f>
        <v>#N/A</v>
      </c>
      <c r="J98" s="35" t="e">
        <f>MATCH(Tableau6[Jours Mois]&amp;"/"&amp;Tableau6[[#Headers],[2023]],tabSuiviConso[Jour Mois Année],0)</f>
        <v>#N/A</v>
      </c>
      <c r="K98" s="35" t="e">
        <f>Tableau6[[#This Row],[Cumul 2022]]-Tableau6[[#This Row],[Cumul 2021]]</f>
        <v>#N/A</v>
      </c>
      <c r="L98" s="37" t="e">
        <f>Tableau6[[#This Row],[Ecart 2021 2022]]/Tableau6[[#This Row],[Cumul 2021]]</f>
        <v>#N/A</v>
      </c>
      <c r="M98" s="35" t="str">
        <f>IF(ISNA(Tableau6[[#This Row],[Position 2023]]),"",INDEX(tabSuiviConso[HP + HC
cumul],Tableau6[[#This Row],[Position 2023]],1))</f>
        <v/>
      </c>
      <c r="N98" s="56" t="e">
        <f>IF(ISNA(Tableau6[[#This Row],[Position 2023]]),Tableau6[[#This Row],[Position 2023]],Tableau6[[#This Row],[2023]]-M$2)</f>
        <v>#N/A</v>
      </c>
      <c r="O98" s="35" t="e">
        <f>Tableau6[[#This Row],[Cumul 2023]]-Tableau6[[#This Row],[Cumul 2022]]</f>
        <v>#N/A</v>
      </c>
      <c r="P98" s="37" t="e">
        <f>Tableau6[[#This Row],[Ecart 2022 2023]]/Tableau6[[#This Row],[Cumul 2022]]</f>
        <v>#N/A</v>
      </c>
      <c r="Q98" s="35" t="e">
        <f>MATCH(Tableau6[Jours Mois]&amp;"/"&amp;Tableau6[[#Headers],[2024]],tabSuiviConso[Jour Mois Année],0)</f>
        <v>#N/A</v>
      </c>
      <c r="R98" s="35" t="str">
        <f>IF(ISNA(Tableau6[[#This Row],[Position 2024]]),"",INDEX(tabSuiviConso[HP + HC
cumul],Tableau6[[#This Row],[Position 2024]],1))</f>
        <v/>
      </c>
      <c r="S98" s="56" t="e">
        <f>IF(ISNA(Tableau6[[#This Row],[Position 2024]]),Tableau6[[#This Row],[Position 2024]],Tableau6[[#This Row],[2024]]-R$2)</f>
        <v>#N/A</v>
      </c>
      <c r="T98" s="35" t="e">
        <f>Tableau6[[#This Row],[Cumul 2024]]-Tableau6[[#This Row],[Cumul 2023]]</f>
        <v>#N/A</v>
      </c>
      <c r="U98" s="36" t="e">
        <f>Tableau6[[#This Row],[Ecart 2023 2024]]/Tableau6[[#This Row],[Cumul 2023]]</f>
        <v>#N/A</v>
      </c>
    </row>
    <row r="99" spans="1:21" x14ac:dyDescent="0.2">
      <c r="A99" s="35">
        <v>4</v>
      </c>
      <c r="B99" s="35">
        <v>6</v>
      </c>
      <c r="C99" s="35" t="str">
        <f>Tableau6[Jour]&amp;"/"&amp;Tableau6[Mois]</f>
        <v>6/4</v>
      </c>
      <c r="D99" s="35" t="e">
        <f>MATCH(Tableau6[Jours Mois]&amp;"/"&amp;Tableau6[[#Headers],[2021]],tabSuiviConso[Jour Mois Année],0)</f>
        <v>#N/A</v>
      </c>
      <c r="E99" s="35" t="str">
        <f>IF(ISNA(Tableau6[[#This Row],[Position 2021]]),"",INDEX(tabSuiviConso[HP + HC
cumul],Tableau6[[#This Row],[Position 2021]],1))</f>
        <v/>
      </c>
      <c r="F99" s="56" t="e">
        <f>IF(ISNA(Tableau6[[#This Row],[Position 2021]]),Tableau6[[#This Row],[Position 2021]],Tableau6[[#This Row],[2021]]-E$2)</f>
        <v>#N/A</v>
      </c>
      <c r="G99" s="35" t="e">
        <f>MATCH(Tableau6[Jours Mois]&amp;"/"&amp;Tableau6[[#Headers],[2022]],tabSuiviConso[Jour Mois Année],0)</f>
        <v>#N/A</v>
      </c>
      <c r="H99" s="35" t="str">
        <f>IF(ISNA(Tableau6[[#This Row],[Position 2022]]),"",INDEX(tabSuiviConso[HP + HC
cumul],Tableau6[[#This Row],[Position 2022]],1))</f>
        <v/>
      </c>
      <c r="I99" s="56" t="e">
        <f>IF(ISNA(Tableau6[[#This Row],[Position 2022]]),Tableau6[[#This Row],[Position 2022]],Tableau6[[#This Row],[2022]]-H$2)</f>
        <v>#N/A</v>
      </c>
      <c r="J99" s="35" t="e">
        <f>MATCH(Tableau6[Jours Mois]&amp;"/"&amp;Tableau6[[#Headers],[2023]],tabSuiviConso[Jour Mois Année],0)</f>
        <v>#N/A</v>
      </c>
      <c r="K99" s="35" t="e">
        <f>Tableau6[[#This Row],[Cumul 2022]]-Tableau6[[#This Row],[Cumul 2021]]</f>
        <v>#N/A</v>
      </c>
      <c r="L99" s="37" t="e">
        <f>Tableau6[[#This Row],[Ecart 2021 2022]]/Tableau6[[#This Row],[Cumul 2021]]</f>
        <v>#N/A</v>
      </c>
      <c r="M99" s="35" t="str">
        <f>IF(ISNA(Tableau6[[#This Row],[Position 2023]]),"",INDEX(tabSuiviConso[HP + HC
cumul],Tableau6[[#This Row],[Position 2023]],1))</f>
        <v/>
      </c>
      <c r="N99" s="56" t="e">
        <f>IF(ISNA(Tableau6[[#This Row],[Position 2023]]),Tableau6[[#This Row],[Position 2023]],Tableau6[[#This Row],[2023]]-M$2)</f>
        <v>#N/A</v>
      </c>
      <c r="O99" s="35" t="e">
        <f>Tableau6[[#This Row],[Cumul 2023]]-Tableau6[[#This Row],[Cumul 2022]]</f>
        <v>#N/A</v>
      </c>
      <c r="P99" s="37" t="e">
        <f>Tableau6[[#This Row],[Ecart 2022 2023]]/Tableau6[[#This Row],[Cumul 2022]]</f>
        <v>#N/A</v>
      </c>
      <c r="Q99" s="35" t="e">
        <f>MATCH(Tableau6[Jours Mois]&amp;"/"&amp;Tableau6[[#Headers],[2024]],tabSuiviConso[Jour Mois Année],0)</f>
        <v>#N/A</v>
      </c>
      <c r="R99" s="35" t="str">
        <f>IF(ISNA(Tableau6[[#This Row],[Position 2024]]),"",INDEX(tabSuiviConso[HP + HC
cumul],Tableau6[[#This Row],[Position 2024]],1))</f>
        <v/>
      </c>
      <c r="S99" s="56" t="e">
        <f>IF(ISNA(Tableau6[[#This Row],[Position 2024]]),Tableau6[[#This Row],[Position 2024]],Tableau6[[#This Row],[2024]]-R$2)</f>
        <v>#N/A</v>
      </c>
      <c r="T99" s="35" t="e">
        <f>Tableau6[[#This Row],[Cumul 2024]]-Tableau6[[#This Row],[Cumul 2023]]</f>
        <v>#N/A</v>
      </c>
      <c r="U99" s="36" t="e">
        <f>Tableau6[[#This Row],[Ecart 2023 2024]]/Tableau6[[#This Row],[Cumul 2023]]</f>
        <v>#N/A</v>
      </c>
    </row>
    <row r="100" spans="1:21" x14ac:dyDescent="0.2">
      <c r="A100" s="35">
        <v>4</v>
      </c>
      <c r="B100" s="35">
        <v>7</v>
      </c>
      <c r="C100" s="35" t="str">
        <f>Tableau6[Jour]&amp;"/"&amp;Tableau6[Mois]</f>
        <v>7/4</v>
      </c>
      <c r="D100" s="35" t="e">
        <f>MATCH(Tableau6[Jours Mois]&amp;"/"&amp;Tableau6[[#Headers],[2021]],tabSuiviConso[Jour Mois Année],0)</f>
        <v>#N/A</v>
      </c>
      <c r="E100" s="35" t="str">
        <f>IF(ISNA(Tableau6[[#This Row],[Position 2021]]),"",INDEX(tabSuiviConso[HP + HC
cumul],Tableau6[[#This Row],[Position 2021]],1))</f>
        <v/>
      </c>
      <c r="F100" s="56" t="e">
        <f>IF(ISNA(Tableau6[[#This Row],[Position 2021]]),Tableau6[[#This Row],[Position 2021]],Tableau6[[#This Row],[2021]]-E$2)</f>
        <v>#N/A</v>
      </c>
      <c r="G100" s="35" t="e">
        <f>MATCH(Tableau6[Jours Mois]&amp;"/"&amp;Tableau6[[#Headers],[2022]],tabSuiviConso[Jour Mois Année],0)</f>
        <v>#N/A</v>
      </c>
      <c r="H100" s="35" t="str">
        <f>IF(ISNA(Tableau6[[#This Row],[Position 2022]]),"",INDEX(tabSuiviConso[HP + HC
cumul],Tableau6[[#This Row],[Position 2022]],1))</f>
        <v/>
      </c>
      <c r="I100" s="56" t="e">
        <f>IF(ISNA(Tableau6[[#This Row],[Position 2022]]),Tableau6[[#This Row],[Position 2022]],Tableau6[[#This Row],[2022]]-H$2)</f>
        <v>#N/A</v>
      </c>
      <c r="J100" s="35" t="e">
        <f>MATCH(Tableau6[Jours Mois]&amp;"/"&amp;Tableau6[[#Headers],[2023]],tabSuiviConso[Jour Mois Année],0)</f>
        <v>#N/A</v>
      </c>
      <c r="K100" s="35" t="e">
        <f>Tableau6[[#This Row],[Cumul 2022]]-Tableau6[[#This Row],[Cumul 2021]]</f>
        <v>#N/A</v>
      </c>
      <c r="L100" s="37" t="e">
        <f>Tableau6[[#This Row],[Ecart 2021 2022]]/Tableau6[[#This Row],[Cumul 2021]]</f>
        <v>#N/A</v>
      </c>
      <c r="M100" s="35" t="str">
        <f>IF(ISNA(Tableau6[[#This Row],[Position 2023]]),"",INDEX(tabSuiviConso[HP + HC
cumul],Tableau6[[#This Row],[Position 2023]],1))</f>
        <v/>
      </c>
      <c r="N100" s="56" t="e">
        <f>IF(ISNA(Tableau6[[#This Row],[Position 2023]]),Tableau6[[#This Row],[Position 2023]],Tableau6[[#This Row],[2023]]-M$2)</f>
        <v>#N/A</v>
      </c>
      <c r="O100" s="35" t="e">
        <f>Tableau6[[#This Row],[Cumul 2023]]-Tableau6[[#This Row],[Cumul 2022]]</f>
        <v>#N/A</v>
      </c>
      <c r="P100" s="37" t="e">
        <f>Tableau6[[#This Row],[Ecart 2022 2023]]/Tableau6[[#This Row],[Cumul 2022]]</f>
        <v>#N/A</v>
      </c>
      <c r="Q100" s="35" t="e">
        <f>MATCH(Tableau6[Jours Mois]&amp;"/"&amp;Tableau6[[#Headers],[2024]],tabSuiviConso[Jour Mois Année],0)</f>
        <v>#N/A</v>
      </c>
      <c r="R100" s="35" t="str">
        <f>IF(ISNA(Tableau6[[#This Row],[Position 2024]]),"",INDEX(tabSuiviConso[HP + HC
cumul],Tableau6[[#This Row],[Position 2024]],1))</f>
        <v/>
      </c>
      <c r="S100" s="56" t="e">
        <f>IF(ISNA(Tableau6[[#This Row],[Position 2024]]),Tableau6[[#This Row],[Position 2024]],Tableau6[[#This Row],[2024]]-R$2)</f>
        <v>#N/A</v>
      </c>
      <c r="T100" s="35" t="e">
        <f>Tableau6[[#This Row],[Cumul 2024]]-Tableau6[[#This Row],[Cumul 2023]]</f>
        <v>#N/A</v>
      </c>
      <c r="U100" s="36" t="e">
        <f>Tableau6[[#This Row],[Ecart 2023 2024]]/Tableau6[[#This Row],[Cumul 2023]]</f>
        <v>#N/A</v>
      </c>
    </row>
    <row r="101" spans="1:21" x14ac:dyDescent="0.2">
      <c r="A101" s="35">
        <v>4</v>
      </c>
      <c r="B101" s="35">
        <v>8</v>
      </c>
      <c r="C101" s="35" t="str">
        <f>Tableau6[Jour]&amp;"/"&amp;Tableau6[Mois]</f>
        <v>8/4</v>
      </c>
      <c r="D101" s="35" t="e">
        <f>MATCH(Tableau6[Jours Mois]&amp;"/"&amp;Tableau6[[#Headers],[2021]],tabSuiviConso[Jour Mois Année],0)</f>
        <v>#N/A</v>
      </c>
      <c r="E101" s="35" t="str">
        <f>IF(ISNA(Tableau6[[#This Row],[Position 2021]]),"",INDEX(tabSuiviConso[HP + HC
cumul],Tableau6[[#This Row],[Position 2021]],1))</f>
        <v/>
      </c>
      <c r="F101" s="56" t="e">
        <f>IF(ISNA(Tableau6[[#This Row],[Position 2021]]),Tableau6[[#This Row],[Position 2021]],Tableau6[[#This Row],[2021]]-E$2)</f>
        <v>#N/A</v>
      </c>
      <c r="G101" s="35" t="e">
        <f>MATCH(Tableau6[Jours Mois]&amp;"/"&amp;Tableau6[[#Headers],[2022]],tabSuiviConso[Jour Mois Année],0)</f>
        <v>#N/A</v>
      </c>
      <c r="H101" s="35" t="str">
        <f>IF(ISNA(Tableau6[[#This Row],[Position 2022]]),"",INDEX(tabSuiviConso[HP + HC
cumul],Tableau6[[#This Row],[Position 2022]],1))</f>
        <v/>
      </c>
      <c r="I101" s="56" t="e">
        <f>IF(ISNA(Tableau6[[#This Row],[Position 2022]]),Tableau6[[#This Row],[Position 2022]],Tableau6[[#This Row],[2022]]-H$2)</f>
        <v>#N/A</v>
      </c>
      <c r="J101" s="35" t="e">
        <f>MATCH(Tableau6[Jours Mois]&amp;"/"&amp;Tableau6[[#Headers],[2023]],tabSuiviConso[Jour Mois Année],0)</f>
        <v>#N/A</v>
      </c>
      <c r="K101" s="35" t="e">
        <f>Tableau6[[#This Row],[Cumul 2022]]-Tableau6[[#This Row],[Cumul 2021]]</f>
        <v>#N/A</v>
      </c>
      <c r="L101" s="37" t="e">
        <f>Tableau6[[#This Row],[Ecart 2021 2022]]/Tableau6[[#This Row],[Cumul 2021]]</f>
        <v>#N/A</v>
      </c>
      <c r="M101" s="35" t="str">
        <f>IF(ISNA(Tableau6[[#This Row],[Position 2023]]),"",INDEX(tabSuiviConso[HP + HC
cumul],Tableau6[[#This Row],[Position 2023]],1))</f>
        <v/>
      </c>
      <c r="N101" s="56" t="e">
        <f>IF(ISNA(Tableau6[[#This Row],[Position 2023]]),Tableau6[[#This Row],[Position 2023]],Tableau6[[#This Row],[2023]]-M$2)</f>
        <v>#N/A</v>
      </c>
      <c r="O101" s="35" t="e">
        <f>Tableau6[[#This Row],[Cumul 2023]]-Tableau6[[#This Row],[Cumul 2022]]</f>
        <v>#N/A</v>
      </c>
      <c r="P101" s="37" t="e">
        <f>Tableau6[[#This Row],[Ecart 2022 2023]]/Tableau6[[#This Row],[Cumul 2022]]</f>
        <v>#N/A</v>
      </c>
      <c r="Q101" s="35" t="e">
        <f>MATCH(Tableau6[Jours Mois]&amp;"/"&amp;Tableau6[[#Headers],[2024]],tabSuiviConso[Jour Mois Année],0)</f>
        <v>#N/A</v>
      </c>
      <c r="R101" s="35" t="str">
        <f>IF(ISNA(Tableau6[[#This Row],[Position 2024]]),"",INDEX(tabSuiviConso[HP + HC
cumul],Tableau6[[#This Row],[Position 2024]],1))</f>
        <v/>
      </c>
      <c r="S101" s="56" t="e">
        <f>IF(ISNA(Tableau6[[#This Row],[Position 2024]]),Tableau6[[#This Row],[Position 2024]],Tableau6[[#This Row],[2024]]-R$2)</f>
        <v>#N/A</v>
      </c>
      <c r="T101" s="35" t="e">
        <f>Tableau6[[#This Row],[Cumul 2024]]-Tableau6[[#This Row],[Cumul 2023]]</f>
        <v>#N/A</v>
      </c>
      <c r="U101" s="36" t="e">
        <f>Tableau6[[#This Row],[Ecart 2023 2024]]/Tableau6[[#This Row],[Cumul 2023]]</f>
        <v>#N/A</v>
      </c>
    </row>
    <row r="102" spans="1:21" x14ac:dyDescent="0.2">
      <c r="A102" s="35">
        <v>4</v>
      </c>
      <c r="B102" s="35">
        <v>9</v>
      </c>
      <c r="C102" s="35" t="str">
        <f>Tableau6[Jour]&amp;"/"&amp;Tableau6[Mois]</f>
        <v>9/4</v>
      </c>
      <c r="D102" s="35" t="e">
        <f>MATCH(Tableau6[Jours Mois]&amp;"/"&amp;Tableau6[[#Headers],[2021]],tabSuiviConso[Jour Mois Année],0)</f>
        <v>#N/A</v>
      </c>
      <c r="E102" s="35" t="str">
        <f>IF(ISNA(Tableau6[[#This Row],[Position 2021]]),"",INDEX(tabSuiviConso[HP + HC
cumul],Tableau6[[#This Row],[Position 2021]],1))</f>
        <v/>
      </c>
      <c r="F102" s="56" t="e">
        <f>IF(ISNA(Tableau6[[#This Row],[Position 2021]]),Tableau6[[#This Row],[Position 2021]],Tableau6[[#This Row],[2021]]-E$2)</f>
        <v>#N/A</v>
      </c>
      <c r="G102" s="35" t="e">
        <f>MATCH(Tableau6[Jours Mois]&amp;"/"&amp;Tableau6[[#Headers],[2022]],tabSuiviConso[Jour Mois Année],0)</f>
        <v>#N/A</v>
      </c>
      <c r="H102" s="35" t="str">
        <f>IF(ISNA(Tableau6[[#This Row],[Position 2022]]),"",INDEX(tabSuiviConso[HP + HC
cumul],Tableau6[[#This Row],[Position 2022]],1))</f>
        <v/>
      </c>
      <c r="I102" s="56" t="e">
        <f>IF(ISNA(Tableau6[[#This Row],[Position 2022]]),Tableau6[[#This Row],[Position 2022]],Tableau6[[#This Row],[2022]]-H$2)</f>
        <v>#N/A</v>
      </c>
      <c r="J102" s="35" t="e">
        <f>MATCH(Tableau6[Jours Mois]&amp;"/"&amp;Tableau6[[#Headers],[2023]],tabSuiviConso[Jour Mois Année],0)</f>
        <v>#N/A</v>
      </c>
      <c r="K102" s="35" t="e">
        <f>Tableau6[[#This Row],[Cumul 2022]]-Tableau6[[#This Row],[Cumul 2021]]</f>
        <v>#N/A</v>
      </c>
      <c r="L102" s="37" t="e">
        <f>Tableau6[[#This Row],[Ecart 2021 2022]]/Tableau6[[#This Row],[Cumul 2021]]</f>
        <v>#N/A</v>
      </c>
      <c r="M102" s="35" t="str">
        <f>IF(ISNA(Tableau6[[#This Row],[Position 2023]]),"",INDEX(tabSuiviConso[HP + HC
cumul],Tableau6[[#This Row],[Position 2023]],1))</f>
        <v/>
      </c>
      <c r="N102" s="56" t="e">
        <f>IF(ISNA(Tableau6[[#This Row],[Position 2023]]),Tableau6[[#This Row],[Position 2023]],Tableau6[[#This Row],[2023]]-M$2)</f>
        <v>#N/A</v>
      </c>
      <c r="O102" s="35" t="e">
        <f>Tableau6[[#This Row],[Cumul 2023]]-Tableau6[[#This Row],[Cumul 2022]]</f>
        <v>#N/A</v>
      </c>
      <c r="P102" s="37" t="e">
        <f>Tableau6[[#This Row],[Ecart 2022 2023]]/Tableau6[[#This Row],[Cumul 2022]]</f>
        <v>#N/A</v>
      </c>
      <c r="Q102" s="35" t="e">
        <f>MATCH(Tableau6[Jours Mois]&amp;"/"&amp;Tableau6[[#Headers],[2024]],tabSuiviConso[Jour Mois Année],0)</f>
        <v>#N/A</v>
      </c>
      <c r="R102" s="35" t="str">
        <f>IF(ISNA(Tableau6[[#This Row],[Position 2024]]),"",INDEX(tabSuiviConso[HP + HC
cumul],Tableau6[[#This Row],[Position 2024]],1))</f>
        <v/>
      </c>
      <c r="S102" s="56" t="e">
        <f>IF(ISNA(Tableau6[[#This Row],[Position 2024]]),Tableau6[[#This Row],[Position 2024]],Tableau6[[#This Row],[2024]]-R$2)</f>
        <v>#N/A</v>
      </c>
      <c r="T102" s="35" t="e">
        <f>Tableau6[[#This Row],[Cumul 2024]]-Tableau6[[#This Row],[Cumul 2023]]</f>
        <v>#N/A</v>
      </c>
      <c r="U102" s="36" t="e">
        <f>Tableau6[[#This Row],[Ecart 2023 2024]]/Tableau6[[#This Row],[Cumul 2023]]</f>
        <v>#N/A</v>
      </c>
    </row>
    <row r="103" spans="1:21" x14ac:dyDescent="0.2">
      <c r="A103" s="35">
        <v>4</v>
      </c>
      <c r="B103" s="35">
        <v>10</v>
      </c>
      <c r="C103" s="35" t="str">
        <f>Tableau6[Jour]&amp;"/"&amp;Tableau6[Mois]</f>
        <v>10/4</v>
      </c>
      <c r="D103" s="35" t="e">
        <f>MATCH(Tableau6[Jours Mois]&amp;"/"&amp;Tableau6[[#Headers],[2021]],tabSuiviConso[Jour Mois Année],0)</f>
        <v>#N/A</v>
      </c>
      <c r="E103" s="35" t="str">
        <f>IF(ISNA(Tableau6[[#This Row],[Position 2021]]),"",INDEX(tabSuiviConso[HP + HC
cumul],Tableau6[[#This Row],[Position 2021]],1))</f>
        <v/>
      </c>
      <c r="F103" s="56" t="e">
        <f>IF(ISNA(Tableau6[[#This Row],[Position 2021]]),Tableau6[[#This Row],[Position 2021]],Tableau6[[#This Row],[2021]]-E$2)</f>
        <v>#N/A</v>
      </c>
      <c r="G103" s="35" t="e">
        <f>MATCH(Tableau6[Jours Mois]&amp;"/"&amp;Tableau6[[#Headers],[2022]],tabSuiviConso[Jour Mois Année],0)</f>
        <v>#N/A</v>
      </c>
      <c r="H103" s="35" t="str">
        <f>IF(ISNA(Tableau6[[#This Row],[Position 2022]]),"",INDEX(tabSuiviConso[HP + HC
cumul],Tableau6[[#This Row],[Position 2022]],1))</f>
        <v/>
      </c>
      <c r="I103" s="56" t="e">
        <f>IF(ISNA(Tableau6[[#This Row],[Position 2022]]),Tableau6[[#This Row],[Position 2022]],Tableau6[[#This Row],[2022]]-H$2)</f>
        <v>#N/A</v>
      </c>
      <c r="J103" s="35" t="e">
        <f>MATCH(Tableau6[Jours Mois]&amp;"/"&amp;Tableau6[[#Headers],[2023]],tabSuiviConso[Jour Mois Année],0)</f>
        <v>#N/A</v>
      </c>
      <c r="K103" s="35" t="e">
        <f>Tableau6[[#This Row],[Cumul 2022]]-Tableau6[[#This Row],[Cumul 2021]]</f>
        <v>#N/A</v>
      </c>
      <c r="L103" s="37" t="e">
        <f>Tableau6[[#This Row],[Ecart 2021 2022]]/Tableau6[[#This Row],[Cumul 2021]]</f>
        <v>#N/A</v>
      </c>
      <c r="M103" s="35" t="str">
        <f>IF(ISNA(Tableau6[[#This Row],[Position 2023]]),"",INDEX(tabSuiviConso[HP + HC
cumul],Tableau6[[#This Row],[Position 2023]],1))</f>
        <v/>
      </c>
      <c r="N103" s="56" t="e">
        <f>IF(ISNA(Tableau6[[#This Row],[Position 2023]]),Tableau6[[#This Row],[Position 2023]],Tableau6[[#This Row],[2023]]-M$2)</f>
        <v>#N/A</v>
      </c>
      <c r="O103" s="35" t="e">
        <f>Tableau6[[#This Row],[Cumul 2023]]-Tableau6[[#This Row],[Cumul 2022]]</f>
        <v>#N/A</v>
      </c>
      <c r="P103" s="37" t="e">
        <f>Tableau6[[#This Row],[Ecart 2022 2023]]/Tableau6[[#This Row],[Cumul 2022]]</f>
        <v>#N/A</v>
      </c>
      <c r="Q103" s="35" t="e">
        <f>MATCH(Tableau6[Jours Mois]&amp;"/"&amp;Tableau6[[#Headers],[2024]],tabSuiviConso[Jour Mois Année],0)</f>
        <v>#N/A</v>
      </c>
      <c r="R103" s="35" t="str">
        <f>IF(ISNA(Tableau6[[#This Row],[Position 2024]]),"",INDEX(tabSuiviConso[HP + HC
cumul],Tableau6[[#This Row],[Position 2024]],1))</f>
        <v/>
      </c>
      <c r="S103" s="56" t="e">
        <f>IF(ISNA(Tableau6[[#This Row],[Position 2024]]),Tableau6[[#This Row],[Position 2024]],Tableau6[[#This Row],[2024]]-R$2)</f>
        <v>#N/A</v>
      </c>
      <c r="T103" s="35" t="e">
        <f>Tableau6[[#This Row],[Cumul 2024]]-Tableau6[[#This Row],[Cumul 2023]]</f>
        <v>#N/A</v>
      </c>
      <c r="U103" s="36" t="e">
        <f>Tableau6[[#This Row],[Ecart 2023 2024]]/Tableau6[[#This Row],[Cumul 2023]]</f>
        <v>#N/A</v>
      </c>
    </row>
    <row r="104" spans="1:21" x14ac:dyDescent="0.2">
      <c r="A104" s="35">
        <v>4</v>
      </c>
      <c r="B104" s="35">
        <v>11</v>
      </c>
      <c r="C104" s="35" t="str">
        <f>Tableau6[Jour]&amp;"/"&amp;Tableau6[Mois]</f>
        <v>11/4</v>
      </c>
      <c r="D104" s="35" t="e">
        <f>MATCH(Tableau6[Jours Mois]&amp;"/"&amp;Tableau6[[#Headers],[2021]],tabSuiviConso[Jour Mois Année],0)</f>
        <v>#N/A</v>
      </c>
      <c r="E104" s="35" t="str">
        <f>IF(ISNA(Tableau6[[#This Row],[Position 2021]]),"",INDEX(tabSuiviConso[HP + HC
cumul],Tableau6[[#This Row],[Position 2021]],1))</f>
        <v/>
      </c>
      <c r="F104" s="56" t="e">
        <f>IF(ISNA(Tableau6[[#This Row],[Position 2021]]),Tableau6[[#This Row],[Position 2021]],Tableau6[[#This Row],[2021]]-E$2)</f>
        <v>#N/A</v>
      </c>
      <c r="G104" s="35" t="e">
        <f>MATCH(Tableau6[Jours Mois]&amp;"/"&amp;Tableau6[[#Headers],[2022]],tabSuiviConso[Jour Mois Année],0)</f>
        <v>#N/A</v>
      </c>
      <c r="H104" s="35" t="str">
        <f>IF(ISNA(Tableau6[[#This Row],[Position 2022]]),"",INDEX(tabSuiviConso[HP + HC
cumul],Tableau6[[#This Row],[Position 2022]],1))</f>
        <v/>
      </c>
      <c r="I104" s="56" t="e">
        <f>IF(ISNA(Tableau6[[#This Row],[Position 2022]]),Tableau6[[#This Row],[Position 2022]],Tableau6[[#This Row],[2022]]-H$2)</f>
        <v>#N/A</v>
      </c>
      <c r="J104" s="35" t="e">
        <f>MATCH(Tableau6[Jours Mois]&amp;"/"&amp;Tableau6[[#Headers],[2023]],tabSuiviConso[Jour Mois Année],0)</f>
        <v>#N/A</v>
      </c>
      <c r="K104" s="35" t="e">
        <f>Tableau6[[#This Row],[Cumul 2022]]-Tableau6[[#This Row],[Cumul 2021]]</f>
        <v>#N/A</v>
      </c>
      <c r="L104" s="37" t="e">
        <f>Tableau6[[#This Row],[Ecart 2021 2022]]/Tableau6[[#This Row],[Cumul 2021]]</f>
        <v>#N/A</v>
      </c>
      <c r="M104" s="35" t="str">
        <f>IF(ISNA(Tableau6[[#This Row],[Position 2023]]),"",INDEX(tabSuiviConso[HP + HC
cumul],Tableau6[[#This Row],[Position 2023]],1))</f>
        <v/>
      </c>
      <c r="N104" s="56" t="e">
        <f>IF(ISNA(Tableau6[[#This Row],[Position 2023]]),Tableau6[[#This Row],[Position 2023]],Tableau6[[#This Row],[2023]]-M$2)</f>
        <v>#N/A</v>
      </c>
      <c r="O104" s="35" t="e">
        <f>Tableau6[[#This Row],[Cumul 2023]]-Tableau6[[#This Row],[Cumul 2022]]</f>
        <v>#N/A</v>
      </c>
      <c r="P104" s="37" t="e">
        <f>Tableau6[[#This Row],[Ecart 2022 2023]]/Tableau6[[#This Row],[Cumul 2022]]</f>
        <v>#N/A</v>
      </c>
      <c r="Q104" s="35" t="e">
        <f>MATCH(Tableau6[Jours Mois]&amp;"/"&amp;Tableau6[[#Headers],[2024]],tabSuiviConso[Jour Mois Année],0)</f>
        <v>#N/A</v>
      </c>
      <c r="R104" s="35" t="str">
        <f>IF(ISNA(Tableau6[[#This Row],[Position 2024]]),"",INDEX(tabSuiviConso[HP + HC
cumul],Tableau6[[#This Row],[Position 2024]],1))</f>
        <v/>
      </c>
      <c r="S104" s="56" t="e">
        <f>IF(ISNA(Tableau6[[#This Row],[Position 2024]]),Tableau6[[#This Row],[Position 2024]],Tableau6[[#This Row],[2024]]-R$2)</f>
        <v>#N/A</v>
      </c>
      <c r="T104" s="35" t="e">
        <f>Tableau6[[#This Row],[Cumul 2024]]-Tableau6[[#This Row],[Cumul 2023]]</f>
        <v>#N/A</v>
      </c>
      <c r="U104" s="36" t="e">
        <f>Tableau6[[#This Row],[Ecart 2023 2024]]/Tableau6[[#This Row],[Cumul 2023]]</f>
        <v>#N/A</v>
      </c>
    </row>
    <row r="105" spans="1:21" x14ac:dyDescent="0.2">
      <c r="A105" s="35">
        <v>4</v>
      </c>
      <c r="B105" s="35">
        <v>12</v>
      </c>
      <c r="C105" s="35" t="str">
        <f>Tableau6[Jour]&amp;"/"&amp;Tableau6[Mois]</f>
        <v>12/4</v>
      </c>
      <c r="D105" s="35" t="e">
        <f>MATCH(Tableau6[Jours Mois]&amp;"/"&amp;Tableau6[[#Headers],[2021]],tabSuiviConso[Jour Mois Année],0)</f>
        <v>#N/A</v>
      </c>
      <c r="E105" s="35" t="str">
        <f>IF(ISNA(Tableau6[[#This Row],[Position 2021]]),"",INDEX(tabSuiviConso[HP + HC
cumul],Tableau6[[#This Row],[Position 2021]],1))</f>
        <v/>
      </c>
      <c r="F105" s="56" t="e">
        <f>IF(ISNA(Tableau6[[#This Row],[Position 2021]]),Tableau6[[#This Row],[Position 2021]],Tableau6[[#This Row],[2021]]-E$2)</f>
        <v>#N/A</v>
      </c>
      <c r="G105" s="35" t="e">
        <f>MATCH(Tableau6[Jours Mois]&amp;"/"&amp;Tableau6[[#Headers],[2022]],tabSuiviConso[Jour Mois Année],0)</f>
        <v>#N/A</v>
      </c>
      <c r="H105" s="35" t="str">
        <f>IF(ISNA(Tableau6[[#This Row],[Position 2022]]),"",INDEX(tabSuiviConso[HP + HC
cumul],Tableau6[[#This Row],[Position 2022]],1))</f>
        <v/>
      </c>
      <c r="I105" s="56" t="e">
        <f>IF(ISNA(Tableau6[[#This Row],[Position 2022]]),Tableau6[[#This Row],[Position 2022]],Tableau6[[#This Row],[2022]]-H$2)</f>
        <v>#N/A</v>
      </c>
      <c r="J105" s="35" t="e">
        <f>MATCH(Tableau6[Jours Mois]&amp;"/"&amp;Tableau6[[#Headers],[2023]],tabSuiviConso[Jour Mois Année],0)</f>
        <v>#N/A</v>
      </c>
      <c r="K105" s="35" t="e">
        <f>Tableau6[[#This Row],[Cumul 2022]]-Tableau6[[#This Row],[Cumul 2021]]</f>
        <v>#N/A</v>
      </c>
      <c r="L105" s="37" t="e">
        <f>Tableau6[[#This Row],[Ecart 2021 2022]]/Tableau6[[#This Row],[Cumul 2021]]</f>
        <v>#N/A</v>
      </c>
      <c r="M105" s="35" t="str">
        <f>IF(ISNA(Tableau6[[#This Row],[Position 2023]]),"",INDEX(tabSuiviConso[HP + HC
cumul],Tableau6[[#This Row],[Position 2023]],1))</f>
        <v/>
      </c>
      <c r="N105" s="56" t="e">
        <f>IF(ISNA(Tableau6[[#This Row],[Position 2023]]),Tableau6[[#This Row],[Position 2023]],Tableau6[[#This Row],[2023]]-M$2)</f>
        <v>#N/A</v>
      </c>
      <c r="O105" s="35" t="e">
        <f>Tableau6[[#This Row],[Cumul 2023]]-Tableau6[[#This Row],[Cumul 2022]]</f>
        <v>#N/A</v>
      </c>
      <c r="P105" s="37" t="e">
        <f>Tableau6[[#This Row],[Ecart 2022 2023]]/Tableau6[[#This Row],[Cumul 2022]]</f>
        <v>#N/A</v>
      </c>
      <c r="Q105" s="35" t="e">
        <f>MATCH(Tableau6[Jours Mois]&amp;"/"&amp;Tableau6[[#Headers],[2024]],tabSuiviConso[Jour Mois Année],0)</f>
        <v>#N/A</v>
      </c>
      <c r="R105" s="35" t="str">
        <f>IF(ISNA(Tableau6[[#This Row],[Position 2024]]),"",INDEX(tabSuiviConso[HP + HC
cumul],Tableau6[[#This Row],[Position 2024]],1))</f>
        <v/>
      </c>
      <c r="S105" s="56" t="e">
        <f>IF(ISNA(Tableau6[[#This Row],[Position 2024]]),Tableau6[[#This Row],[Position 2024]],Tableau6[[#This Row],[2024]]-R$2)</f>
        <v>#N/A</v>
      </c>
      <c r="T105" s="35" t="e">
        <f>Tableau6[[#This Row],[Cumul 2024]]-Tableau6[[#This Row],[Cumul 2023]]</f>
        <v>#N/A</v>
      </c>
      <c r="U105" s="36" t="e">
        <f>Tableau6[[#This Row],[Ecart 2023 2024]]/Tableau6[[#This Row],[Cumul 2023]]</f>
        <v>#N/A</v>
      </c>
    </row>
    <row r="106" spans="1:21" x14ac:dyDescent="0.2">
      <c r="A106" s="35">
        <v>4</v>
      </c>
      <c r="B106" s="35">
        <v>13</v>
      </c>
      <c r="C106" s="35" t="str">
        <f>Tableau6[Jour]&amp;"/"&amp;Tableau6[Mois]</f>
        <v>13/4</v>
      </c>
      <c r="D106" s="35" t="e">
        <f>MATCH(Tableau6[Jours Mois]&amp;"/"&amp;Tableau6[[#Headers],[2021]],tabSuiviConso[Jour Mois Année],0)</f>
        <v>#N/A</v>
      </c>
      <c r="E106" s="35" t="str">
        <f>IF(ISNA(Tableau6[[#This Row],[Position 2021]]),"",INDEX(tabSuiviConso[HP + HC
cumul],Tableau6[[#This Row],[Position 2021]],1))</f>
        <v/>
      </c>
      <c r="F106" s="56" t="e">
        <f>IF(ISNA(Tableau6[[#This Row],[Position 2021]]),Tableau6[[#This Row],[Position 2021]],Tableau6[[#This Row],[2021]]-E$2)</f>
        <v>#N/A</v>
      </c>
      <c r="G106" s="35" t="e">
        <f>MATCH(Tableau6[Jours Mois]&amp;"/"&amp;Tableau6[[#Headers],[2022]],tabSuiviConso[Jour Mois Année],0)</f>
        <v>#N/A</v>
      </c>
      <c r="H106" s="35" t="str">
        <f>IF(ISNA(Tableau6[[#This Row],[Position 2022]]),"",INDEX(tabSuiviConso[HP + HC
cumul],Tableau6[[#This Row],[Position 2022]],1))</f>
        <v/>
      </c>
      <c r="I106" s="56" t="e">
        <f>IF(ISNA(Tableau6[[#This Row],[Position 2022]]),Tableau6[[#This Row],[Position 2022]],Tableau6[[#This Row],[2022]]-H$2)</f>
        <v>#N/A</v>
      </c>
      <c r="J106" s="35" t="e">
        <f>MATCH(Tableau6[Jours Mois]&amp;"/"&amp;Tableau6[[#Headers],[2023]],tabSuiviConso[Jour Mois Année],0)</f>
        <v>#N/A</v>
      </c>
      <c r="K106" s="35" t="e">
        <f>Tableau6[[#This Row],[Cumul 2022]]-Tableau6[[#This Row],[Cumul 2021]]</f>
        <v>#N/A</v>
      </c>
      <c r="L106" s="37" t="e">
        <f>Tableau6[[#This Row],[Ecart 2021 2022]]/Tableau6[[#This Row],[Cumul 2021]]</f>
        <v>#N/A</v>
      </c>
      <c r="M106" s="35" t="str">
        <f>IF(ISNA(Tableau6[[#This Row],[Position 2023]]),"",INDEX(tabSuiviConso[HP + HC
cumul],Tableau6[[#This Row],[Position 2023]],1))</f>
        <v/>
      </c>
      <c r="N106" s="56" t="e">
        <f>IF(ISNA(Tableau6[[#This Row],[Position 2023]]),Tableau6[[#This Row],[Position 2023]],Tableau6[[#This Row],[2023]]-M$2)</f>
        <v>#N/A</v>
      </c>
      <c r="O106" s="35" t="e">
        <f>Tableau6[[#This Row],[Cumul 2023]]-Tableau6[[#This Row],[Cumul 2022]]</f>
        <v>#N/A</v>
      </c>
      <c r="P106" s="37" t="e">
        <f>Tableau6[[#This Row],[Ecart 2022 2023]]/Tableau6[[#This Row],[Cumul 2022]]</f>
        <v>#N/A</v>
      </c>
      <c r="Q106" s="35" t="e">
        <f>MATCH(Tableau6[Jours Mois]&amp;"/"&amp;Tableau6[[#Headers],[2024]],tabSuiviConso[Jour Mois Année],0)</f>
        <v>#N/A</v>
      </c>
      <c r="R106" s="35" t="str">
        <f>IF(ISNA(Tableau6[[#This Row],[Position 2024]]),"",INDEX(tabSuiviConso[HP + HC
cumul],Tableau6[[#This Row],[Position 2024]],1))</f>
        <v/>
      </c>
      <c r="S106" s="56" t="e">
        <f>IF(ISNA(Tableau6[[#This Row],[Position 2024]]),Tableau6[[#This Row],[Position 2024]],Tableau6[[#This Row],[2024]]-R$2)</f>
        <v>#N/A</v>
      </c>
      <c r="T106" s="35" t="e">
        <f>Tableau6[[#This Row],[Cumul 2024]]-Tableau6[[#This Row],[Cumul 2023]]</f>
        <v>#N/A</v>
      </c>
      <c r="U106" s="36" t="e">
        <f>Tableau6[[#This Row],[Ecart 2023 2024]]/Tableau6[[#This Row],[Cumul 2023]]</f>
        <v>#N/A</v>
      </c>
    </row>
    <row r="107" spans="1:21" x14ac:dyDescent="0.2">
      <c r="A107" s="35">
        <v>4</v>
      </c>
      <c r="B107" s="35">
        <v>14</v>
      </c>
      <c r="C107" s="35" t="str">
        <f>Tableau6[Jour]&amp;"/"&amp;Tableau6[Mois]</f>
        <v>14/4</v>
      </c>
      <c r="D107" s="35" t="e">
        <f>MATCH(Tableau6[Jours Mois]&amp;"/"&amp;Tableau6[[#Headers],[2021]],tabSuiviConso[Jour Mois Année],0)</f>
        <v>#N/A</v>
      </c>
      <c r="E107" s="35" t="str">
        <f>IF(ISNA(Tableau6[[#This Row],[Position 2021]]),"",INDEX(tabSuiviConso[HP + HC
cumul],Tableau6[[#This Row],[Position 2021]],1))</f>
        <v/>
      </c>
      <c r="F107" s="56" t="e">
        <f>IF(ISNA(Tableau6[[#This Row],[Position 2021]]),Tableau6[[#This Row],[Position 2021]],Tableau6[[#This Row],[2021]]-E$2)</f>
        <v>#N/A</v>
      </c>
      <c r="G107" s="35" t="e">
        <f>MATCH(Tableau6[Jours Mois]&amp;"/"&amp;Tableau6[[#Headers],[2022]],tabSuiviConso[Jour Mois Année],0)</f>
        <v>#N/A</v>
      </c>
      <c r="H107" s="35" t="str">
        <f>IF(ISNA(Tableau6[[#This Row],[Position 2022]]),"",INDEX(tabSuiviConso[HP + HC
cumul],Tableau6[[#This Row],[Position 2022]],1))</f>
        <v/>
      </c>
      <c r="I107" s="56" t="e">
        <f>IF(ISNA(Tableau6[[#This Row],[Position 2022]]),Tableau6[[#This Row],[Position 2022]],Tableau6[[#This Row],[2022]]-H$2)</f>
        <v>#N/A</v>
      </c>
      <c r="J107" s="35" t="e">
        <f>MATCH(Tableau6[Jours Mois]&amp;"/"&amp;Tableau6[[#Headers],[2023]],tabSuiviConso[Jour Mois Année],0)</f>
        <v>#N/A</v>
      </c>
      <c r="K107" s="35" t="e">
        <f>Tableau6[[#This Row],[Cumul 2022]]-Tableau6[[#This Row],[Cumul 2021]]</f>
        <v>#N/A</v>
      </c>
      <c r="L107" s="37" t="e">
        <f>Tableau6[[#This Row],[Ecart 2021 2022]]/Tableau6[[#This Row],[Cumul 2021]]</f>
        <v>#N/A</v>
      </c>
      <c r="M107" s="35" t="str">
        <f>IF(ISNA(Tableau6[[#This Row],[Position 2023]]),"",INDEX(tabSuiviConso[HP + HC
cumul],Tableau6[[#This Row],[Position 2023]],1))</f>
        <v/>
      </c>
      <c r="N107" s="56" t="e">
        <f>IF(ISNA(Tableau6[[#This Row],[Position 2023]]),Tableau6[[#This Row],[Position 2023]],Tableau6[[#This Row],[2023]]-M$2)</f>
        <v>#N/A</v>
      </c>
      <c r="O107" s="35" t="e">
        <f>Tableau6[[#This Row],[Cumul 2023]]-Tableau6[[#This Row],[Cumul 2022]]</f>
        <v>#N/A</v>
      </c>
      <c r="P107" s="37" t="e">
        <f>Tableau6[[#This Row],[Ecart 2022 2023]]/Tableau6[[#This Row],[Cumul 2022]]</f>
        <v>#N/A</v>
      </c>
      <c r="Q107" s="35" t="e">
        <f>MATCH(Tableau6[Jours Mois]&amp;"/"&amp;Tableau6[[#Headers],[2024]],tabSuiviConso[Jour Mois Année],0)</f>
        <v>#N/A</v>
      </c>
      <c r="R107" s="35" t="str">
        <f>IF(ISNA(Tableau6[[#This Row],[Position 2024]]),"",INDEX(tabSuiviConso[HP + HC
cumul],Tableau6[[#This Row],[Position 2024]],1))</f>
        <v/>
      </c>
      <c r="S107" s="56" t="e">
        <f>IF(ISNA(Tableau6[[#This Row],[Position 2024]]),Tableau6[[#This Row],[Position 2024]],Tableau6[[#This Row],[2024]]-R$2)</f>
        <v>#N/A</v>
      </c>
      <c r="T107" s="35" t="e">
        <f>Tableau6[[#This Row],[Cumul 2024]]-Tableau6[[#This Row],[Cumul 2023]]</f>
        <v>#N/A</v>
      </c>
      <c r="U107" s="36" t="e">
        <f>Tableau6[[#This Row],[Ecart 2023 2024]]/Tableau6[[#This Row],[Cumul 2023]]</f>
        <v>#N/A</v>
      </c>
    </row>
    <row r="108" spans="1:21" x14ac:dyDescent="0.2">
      <c r="A108" s="35">
        <v>4</v>
      </c>
      <c r="B108" s="35">
        <v>15</v>
      </c>
      <c r="C108" s="35" t="str">
        <f>Tableau6[Jour]&amp;"/"&amp;Tableau6[Mois]</f>
        <v>15/4</v>
      </c>
      <c r="D108" s="35" t="e">
        <f>MATCH(Tableau6[Jours Mois]&amp;"/"&amp;Tableau6[[#Headers],[2021]],tabSuiviConso[Jour Mois Année],0)</f>
        <v>#N/A</v>
      </c>
      <c r="E108" s="35" t="str">
        <f>IF(ISNA(Tableau6[[#This Row],[Position 2021]]),"",INDEX(tabSuiviConso[HP + HC
cumul],Tableau6[[#This Row],[Position 2021]],1))</f>
        <v/>
      </c>
      <c r="F108" s="56" t="e">
        <f>IF(ISNA(Tableau6[[#This Row],[Position 2021]]),Tableau6[[#This Row],[Position 2021]],Tableau6[[#This Row],[2021]]-E$2)</f>
        <v>#N/A</v>
      </c>
      <c r="G108" s="35" t="e">
        <f>MATCH(Tableau6[Jours Mois]&amp;"/"&amp;Tableau6[[#Headers],[2022]],tabSuiviConso[Jour Mois Année],0)</f>
        <v>#N/A</v>
      </c>
      <c r="H108" s="35" t="str">
        <f>IF(ISNA(Tableau6[[#This Row],[Position 2022]]),"",INDEX(tabSuiviConso[HP + HC
cumul],Tableau6[[#This Row],[Position 2022]],1))</f>
        <v/>
      </c>
      <c r="I108" s="56" t="e">
        <f>IF(ISNA(Tableau6[[#This Row],[Position 2022]]),Tableau6[[#This Row],[Position 2022]],Tableau6[[#This Row],[2022]]-H$2)</f>
        <v>#N/A</v>
      </c>
      <c r="J108" s="35" t="e">
        <f>MATCH(Tableau6[Jours Mois]&amp;"/"&amp;Tableau6[[#Headers],[2023]],tabSuiviConso[Jour Mois Année],0)</f>
        <v>#N/A</v>
      </c>
      <c r="K108" s="35" t="e">
        <f>Tableau6[[#This Row],[Cumul 2022]]-Tableau6[[#This Row],[Cumul 2021]]</f>
        <v>#N/A</v>
      </c>
      <c r="L108" s="37" t="e">
        <f>Tableau6[[#This Row],[Ecart 2021 2022]]/Tableau6[[#This Row],[Cumul 2021]]</f>
        <v>#N/A</v>
      </c>
      <c r="M108" s="35" t="str">
        <f>IF(ISNA(Tableau6[[#This Row],[Position 2023]]),"",INDEX(tabSuiviConso[HP + HC
cumul],Tableau6[[#This Row],[Position 2023]],1))</f>
        <v/>
      </c>
      <c r="N108" s="56" t="e">
        <f>IF(ISNA(Tableau6[[#This Row],[Position 2023]]),Tableau6[[#This Row],[Position 2023]],Tableau6[[#This Row],[2023]]-M$2)</f>
        <v>#N/A</v>
      </c>
      <c r="O108" s="35" t="e">
        <f>Tableau6[[#This Row],[Cumul 2023]]-Tableau6[[#This Row],[Cumul 2022]]</f>
        <v>#N/A</v>
      </c>
      <c r="P108" s="37" t="e">
        <f>Tableau6[[#This Row],[Ecart 2022 2023]]/Tableau6[[#This Row],[Cumul 2022]]</f>
        <v>#N/A</v>
      </c>
      <c r="Q108" s="35" t="e">
        <f>MATCH(Tableau6[Jours Mois]&amp;"/"&amp;Tableau6[[#Headers],[2024]],tabSuiviConso[Jour Mois Année],0)</f>
        <v>#N/A</v>
      </c>
      <c r="R108" s="35" t="str">
        <f>IF(ISNA(Tableau6[[#This Row],[Position 2024]]),"",INDEX(tabSuiviConso[HP + HC
cumul],Tableau6[[#This Row],[Position 2024]],1))</f>
        <v/>
      </c>
      <c r="S108" s="56" t="e">
        <f>IF(ISNA(Tableau6[[#This Row],[Position 2024]]),Tableau6[[#This Row],[Position 2024]],Tableau6[[#This Row],[2024]]-R$2)</f>
        <v>#N/A</v>
      </c>
      <c r="T108" s="35" t="e">
        <f>Tableau6[[#This Row],[Cumul 2024]]-Tableau6[[#This Row],[Cumul 2023]]</f>
        <v>#N/A</v>
      </c>
      <c r="U108" s="36" t="e">
        <f>Tableau6[[#This Row],[Ecart 2023 2024]]/Tableau6[[#This Row],[Cumul 2023]]</f>
        <v>#N/A</v>
      </c>
    </row>
    <row r="109" spans="1:21" x14ac:dyDescent="0.2">
      <c r="A109" s="35">
        <v>4</v>
      </c>
      <c r="B109" s="35">
        <v>16</v>
      </c>
      <c r="C109" s="35" t="str">
        <f>Tableau6[Jour]&amp;"/"&amp;Tableau6[Mois]</f>
        <v>16/4</v>
      </c>
      <c r="D109" s="35" t="e">
        <f>MATCH(Tableau6[Jours Mois]&amp;"/"&amp;Tableau6[[#Headers],[2021]],tabSuiviConso[Jour Mois Année],0)</f>
        <v>#N/A</v>
      </c>
      <c r="E109" s="35" t="str">
        <f>IF(ISNA(Tableau6[[#This Row],[Position 2021]]),"",INDEX(tabSuiviConso[HP + HC
cumul],Tableau6[[#This Row],[Position 2021]],1))</f>
        <v/>
      </c>
      <c r="F109" s="56" t="e">
        <f>IF(ISNA(Tableau6[[#This Row],[Position 2021]]),Tableau6[[#This Row],[Position 2021]],Tableau6[[#This Row],[2021]]-E$2)</f>
        <v>#N/A</v>
      </c>
      <c r="G109" s="35" t="e">
        <f>MATCH(Tableau6[Jours Mois]&amp;"/"&amp;Tableau6[[#Headers],[2022]],tabSuiviConso[Jour Mois Année],0)</f>
        <v>#N/A</v>
      </c>
      <c r="H109" s="35" t="str">
        <f>IF(ISNA(Tableau6[[#This Row],[Position 2022]]),"",INDEX(tabSuiviConso[HP + HC
cumul],Tableau6[[#This Row],[Position 2022]],1))</f>
        <v/>
      </c>
      <c r="I109" s="56" t="e">
        <f>IF(ISNA(Tableau6[[#This Row],[Position 2022]]),Tableau6[[#This Row],[Position 2022]],Tableau6[[#This Row],[2022]]-H$2)</f>
        <v>#N/A</v>
      </c>
      <c r="J109" s="35" t="e">
        <f>MATCH(Tableau6[Jours Mois]&amp;"/"&amp;Tableau6[[#Headers],[2023]],tabSuiviConso[Jour Mois Année],0)</f>
        <v>#N/A</v>
      </c>
      <c r="K109" s="35" t="e">
        <f>Tableau6[[#This Row],[Cumul 2022]]-Tableau6[[#This Row],[Cumul 2021]]</f>
        <v>#N/A</v>
      </c>
      <c r="L109" s="37" t="e">
        <f>Tableau6[[#This Row],[Ecart 2021 2022]]/Tableau6[[#This Row],[Cumul 2021]]</f>
        <v>#N/A</v>
      </c>
      <c r="M109" s="35" t="str">
        <f>IF(ISNA(Tableau6[[#This Row],[Position 2023]]),"",INDEX(tabSuiviConso[HP + HC
cumul],Tableau6[[#This Row],[Position 2023]],1))</f>
        <v/>
      </c>
      <c r="N109" s="56" t="e">
        <f>IF(ISNA(Tableau6[[#This Row],[Position 2023]]),Tableau6[[#This Row],[Position 2023]],Tableau6[[#This Row],[2023]]-M$2)</f>
        <v>#N/A</v>
      </c>
      <c r="O109" s="35" t="e">
        <f>Tableau6[[#This Row],[Cumul 2023]]-Tableau6[[#This Row],[Cumul 2022]]</f>
        <v>#N/A</v>
      </c>
      <c r="P109" s="37" t="e">
        <f>Tableau6[[#This Row],[Ecart 2022 2023]]/Tableau6[[#This Row],[Cumul 2022]]</f>
        <v>#N/A</v>
      </c>
      <c r="Q109" s="35" t="e">
        <f>MATCH(Tableau6[Jours Mois]&amp;"/"&amp;Tableau6[[#Headers],[2024]],tabSuiviConso[Jour Mois Année],0)</f>
        <v>#N/A</v>
      </c>
      <c r="R109" s="35" t="str">
        <f>IF(ISNA(Tableau6[[#This Row],[Position 2024]]),"",INDEX(tabSuiviConso[HP + HC
cumul],Tableau6[[#This Row],[Position 2024]],1))</f>
        <v/>
      </c>
      <c r="S109" s="56" t="e">
        <f>IF(ISNA(Tableau6[[#This Row],[Position 2024]]),Tableau6[[#This Row],[Position 2024]],Tableau6[[#This Row],[2024]]-R$2)</f>
        <v>#N/A</v>
      </c>
      <c r="T109" s="35" t="e">
        <f>Tableau6[[#This Row],[Cumul 2024]]-Tableau6[[#This Row],[Cumul 2023]]</f>
        <v>#N/A</v>
      </c>
      <c r="U109" s="36" t="e">
        <f>Tableau6[[#This Row],[Ecart 2023 2024]]/Tableau6[[#This Row],[Cumul 2023]]</f>
        <v>#N/A</v>
      </c>
    </row>
    <row r="110" spans="1:21" x14ac:dyDescent="0.2">
      <c r="A110" s="35">
        <v>4</v>
      </c>
      <c r="B110" s="35">
        <v>17</v>
      </c>
      <c r="C110" s="35" t="str">
        <f>Tableau6[Jour]&amp;"/"&amp;Tableau6[Mois]</f>
        <v>17/4</v>
      </c>
      <c r="D110" s="35" t="e">
        <f>MATCH(Tableau6[Jours Mois]&amp;"/"&amp;Tableau6[[#Headers],[2021]],tabSuiviConso[Jour Mois Année],0)</f>
        <v>#N/A</v>
      </c>
      <c r="E110" s="35" t="str">
        <f>IF(ISNA(Tableau6[[#This Row],[Position 2021]]),"",INDEX(tabSuiviConso[HP + HC
cumul],Tableau6[[#This Row],[Position 2021]],1))</f>
        <v/>
      </c>
      <c r="F110" s="56" t="e">
        <f>IF(ISNA(Tableau6[[#This Row],[Position 2021]]),Tableau6[[#This Row],[Position 2021]],Tableau6[[#This Row],[2021]]-E$2)</f>
        <v>#N/A</v>
      </c>
      <c r="G110" s="35" t="e">
        <f>MATCH(Tableau6[Jours Mois]&amp;"/"&amp;Tableau6[[#Headers],[2022]],tabSuiviConso[Jour Mois Année],0)</f>
        <v>#N/A</v>
      </c>
      <c r="H110" s="35" t="str">
        <f>IF(ISNA(Tableau6[[#This Row],[Position 2022]]),"",INDEX(tabSuiviConso[HP + HC
cumul],Tableau6[[#This Row],[Position 2022]],1))</f>
        <v/>
      </c>
      <c r="I110" s="56" t="e">
        <f>IF(ISNA(Tableau6[[#This Row],[Position 2022]]),Tableau6[[#This Row],[Position 2022]],Tableau6[[#This Row],[2022]]-H$2)</f>
        <v>#N/A</v>
      </c>
      <c r="J110" s="35" t="e">
        <f>MATCH(Tableau6[Jours Mois]&amp;"/"&amp;Tableau6[[#Headers],[2023]],tabSuiviConso[Jour Mois Année],0)</f>
        <v>#N/A</v>
      </c>
      <c r="K110" s="35" t="e">
        <f>Tableau6[[#This Row],[Cumul 2022]]-Tableau6[[#This Row],[Cumul 2021]]</f>
        <v>#N/A</v>
      </c>
      <c r="L110" s="37" t="e">
        <f>Tableau6[[#This Row],[Ecart 2021 2022]]/Tableau6[[#This Row],[Cumul 2021]]</f>
        <v>#N/A</v>
      </c>
      <c r="M110" s="35" t="str">
        <f>IF(ISNA(Tableau6[[#This Row],[Position 2023]]),"",INDEX(tabSuiviConso[HP + HC
cumul],Tableau6[[#This Row],[Position 2023]],1))</f>
        <v/>
      </c>
      <c r="N110" s="56" t="e">
        <f>IF(ISNA(Tableau6[[#This Row],[Position 2023]]),Tableau6[[#This Row],[Position 2023]],Tableau6[[#This Row],[2023]]-M$2)</f>
        <v>#N/A</v>
      </c>
      <c r="O110" s="35" t="e">
        <f>Tableau6[[#This Row],[Cumul 2023]]-Tableau6[[#This Row],[Cumul 2022]]</f>
        <v>#N/A</v>
      </c>
      <c r="P110" s="37" t="e">
        <f>Tableau6[[#This Row],[Ecart 2022 2023]]/Tableau6[[#This Row],[Cumul 2022]]</f>
        <v>#N/A</v>
      </c>
      <c r="Q110" s="35" t="e">
        <f>MATCH(Tableau6[Jours Mois]&amp;"/"&amp;Tableau6[[#Headers],[2024]],tabSuiviConso[Jour Mois Année],0)</f>
        <v>#N/A</v>
      </c>
      <c r="R110" s="35" t="str">
        <f>IF(ISNA(Tableau6[[#This Row],[Position 2024]]),"",INDEX(tabSuiviConso[HP + HC
cumul],Tableau6[[#This Row],[Position 2024]],1))</f>
        <v/>
      </c>
      <c r="S110" s="56" t="e">
        <f>IF(ISNA(Tableau6[[#This Row],[Position 2024]]),Tableau6[[#This Row],[Position 2024]],Tableau6[[#This Row],[2024]]-R$2)</f>
        <v>#N/A</v>
      </c>
      <c r="T110" s="35" t="e">
        <f>Tableau6[[#This Row],[Cumul 2024]]-Tableau6[[#This Row],[Cumul 2023]]</f>
        <v>#N/A</v>
      </c>
      <c r="U110" s="36" t="e">
        <f>Tableau6[[#This Row],[Ecart 2023 2024]]/Tableau6[[#This Row],[Cumul 2023]]</f>
        <v>#N/A</v>
      </c>
    </row>
    <row r="111" spans="1:21" x14ac:dyDescent="0.2">
      <c r="A111" s="35">
        <v>4</v>
      </c>
      <c r="B111" s="35">
        <v>18</v>
      </c>
      <c r="C111" s="35" t="str">
        <f>Tableau6[Jour]&amp;"/"&amp;Tableau6[Mois]</f>
        <v>18/4</v>
      </c>
      <c r="D111" s="35" t="e">
        <f>MATCH(Tableau6[Jours Mois]&amp;"/"&amp;Tableau6[[#Headers],[2021]],tabSuiviConso[Jour Mois Année],0)</f>
        <v>#N/A</v>
      </c>
      <c r="E111" s="35" t="str">
        <f>IF(ISNA(Tableau6[[#This Row],[Position 2021]]),"",INDEX(tabSuiviConso[HP + HC
cumul],Tableau6[[#This Row],[Position 2021]],1))</f>
        <v/>
      </c>
      <c r="F111" s="56" t="e">
        <f>IF(ISNA(Tableau6[[#This Row],[Position 2021]]),Tableau6[[#This Row],[Position 2021]],Tableau6[[#This Row],[2021]]-E$2)</f>
        <v>#N/A</v>
      </c>
      <c r="G111" s="35" t="e">
        <f>MATCH(Tableau6[Jours Mois]&amp;"/"&amp;Tableau6[[#Headers],[2022]],tabSuiviConso[Jour Mois Année],0)</f>
        <v>#N/A</v>
      </c>
      <c r="H111" s="35" t="str">
        <f>IF(ISNA(Tableau6[[#This Row],[Position 2022]]),"",INDEX(tabSuiviConso[HP + HC
cumul],Tableau6[[#This Row],[Position 2022]],1))</f>
        <v/>
      </c>
      <c r="I111" s="56" t="e">
        <f>IF(ISNA(Tableau6[[#This Row],[Position 2022]]),Tableau6[[#This Row],[Position 2022]],Tableau6[[#This Row],[2022]]-H$2)</f>
        <v>#N/A</v>
      </c>
      <c r="J111" s="35" t="e">
        <f>MATCH(Tableau6[Jours Mois]&amp;"/"&amp;Tableau6[[#Headers],[2023]],tabSuiviConso[Jour Mois Année],0)</f>
        <v>#N/A</v>
      </c>
      <c r="K111" s="35" t="e">
        <f>Tableau6[[#This Row],[Cumul 2022]]-Tableau6[[#This Row],[Cumul 2021]]</f>
        <v>#N/A</v>
      </c>
      <c r="L111" s="37" t="e">
        <f>Tableau6[[#This Row],[Ecart 2021 2022]]/Tableau6[[#This Row],[Cumul 2021]]</f>
        <v>#N/A</v>
      </c>
      <c r="M111" s="35" t="str">
        <f>IF(ISNA(Tableau6[[#This Row],[Position 2023]]),"",INDEX(tabSuiviConso[HP + HC
cumul],Tableau6[[#This Row],[Position 2023]],1))</f>
        <v/>
      </c>
      <c r="N111" s="56" t="e">
        <f>IF(ISNA(Tableau6[[#This Row],[Position 2023]]),Tableau6[[#This Row],[Position 2023]],Tableau6[[#This Row],[2023]]-M$2)</f>
        <v>#N/A</v>
      </c>
      <c r="O111" s="35" t="e">
        <f>Tableau6[[#This Row],[Cumul 2023]]-Tableau6[[#This Row],[Cumul 2022]]</f>
        <v>#N/A</v>
      </c>
      <c r="P111" s="37" t="e">
        <f>Tableau6[[#This Row],[Ecart 2022 2023]]/Tableau6[[#This Row],[Cumul 2022]]</f>
        <v>#N/A</v>
      </c>
      <c r="Q111" s="35" t="e">
        <f>MATCH(Tableau6[Jours Mois]&amp;"/"&amp;Tableau6[[#Headers],[2024]],tabSuiviConso[Jour Mois Année],0)</f>
        <v>#N/A</v>
      </c>
      <c r="R111" s="35" t="str">
        <f>IF(ISNA(Tableau6[[#This Row],[Position 2024]]),"",INDEX(tabSuiviConso[HP + HC
cumul],Tableau6[[#This Row],[Position 2024]],1))</f>
        <v/>
      </c>
      <c r="S111" s="56" t="e">
        <f>IF(ISNA(Tableau6[[#This Row],[Position 2024]]),Tableau6[[#This Row],[Position 2024]],Tableau6[[#This Row],[2024]]-R$2)</f>
        <v>#N/A</v>
      </c>
      <c r="T111" s="35" t="e">
        <f>Tableau6[[#This Row],[Cumul 2024]]-Tableau6[[#This Row],[Cumul 2023]]</f>
        <v>#N/A</v>
      </c>
      <c r="U111" s="36" t="e">
        <f>Tableau6[[#This Row],[Ecart 2023 2024]]/Tableau6[[#This Row],[Cumul 2023]]</f>
        <v>#N/A</v>
      </c>
    </row>
    <row r="112" spans="1:21" x14ac:dyDescent="0.2">
      <c r="A112" s="35">
        <v>4</v>
      </c>
      <c r="B112" s="35">
        <v>19</v>
      </c>
      <c r="C112" s="35" t="str">
        <f>Tableau6[Jour]&amp;"/"&amp;Tableau6[Mois]</f>
        <v>19/4</v>
      </c>
      <c r="D112" s="35" t="e">
        <f>MATCH(Tableau6[Jours Mois]&amp;"/"&amp;Tableau6[[#Headers],[2021]],tabSuiviConso[Jour Mois Année],0)</f>
        <v>#N/A</v>
      </c>
      <c r="E112" s="35" t="str">
        <f>IF(ISNA(Tableau6[[#This Row],[Position 2021]]),"",INDEX(tabSuiviConso[HP + HC
cumul],Tableau6[[#This Row],[Position 2021]],1))</f>
        <v/>
      </c>
      <c r="F112" s="56" t="e">
        <f>IF(ISNA(Tableau6[[#This Row],[Position 2021]]),Tableau6[[#This Row],[Position 2021]],Tableau6[[#This Row],[2021]]-E$2)</f>
        <v>#N/A</v>
      </c>
      <c r="G112" s="35" t="e">
        <f>MATCH(Tableau6[Jours Mois]&amp;"/"&amp;Tableau6[[#Headers],[2022]],tabSuiviConso[Jour Mois Année],0)</f>
        <v>#N/A</v>
      </c>
      <c r="H112" s="35" t="str">
        <f>IF(ISNA(Tableau6[[#This Row],[Position 2022]]),"",INDEX(tabSuiviConso[HP + HC
cumul],Tableau6[[#This Row],[Position 2022]],1))</f>
        <v/>
      </c>
      <c r="I112" s="56" t="e">
        <f>IF(ISNA(Tableau6[[#This Row],[Position 2022]]),Tableau6[[#This Row],[Position 2022]],Tableau6[[#This Row],[2022]]-H$2)</f>
        <v>#N/A</v>
      </c>
      <c r="J112" s="35" t="e">
        <f>MATCH(Tableau6[Jours Mois]&amp;"/"&amp;Tableau6[[#Headers],[2023]],tabSuiviConso[Jour Mois Année],0)</f>
        <v>#N/A</v>
      </c>
      <c r="K112" s="35" t="e">
        <f>Tableau6[[#This Row],[Cumul 2022]]-Tableau6[[#This Row],[Cumul 2021]]</f>
        <v>#N/A</v>
      </c>
      <c r="L112" s="37" t="e">
        <f>Tableau6[[#This Row],[Ecart 2021 2022]]/Tableau6[[#This Row],[Cumul 2021]]</f>
        <v>#N/A</v>
      </c>
      <c r="M112" s="35" t="str">
        <f>IF(ISNA(Tableau6[[#This Row],[Position 2023]]),"",INDEX(tabSuiviConso[HP + HC
cumul],Tableau6[[#This Row],[Position 2023]],1))</f>
        <v/>
      </c>
      <c r="N112" s="56" t="e">
        <f>IF(ISNA(Tableau6[[#This Row],[Position 2023]]),Tableau6[[#This Row],[Position 2023]],Tableau6[[#This Row],[2023]]-M$2)</f>
        <v>#N/A</v>
      </c>
      <c r="O112" s="35" t="e">
        <f>Tableau6[[#This Row],[Cumul 2023]]-Tableau6[[#This Row],[Cumul 2022]]</f>
        <v>#N/A</v>
      </c>
      <c r="P112" s="37" t="e">
        <f>Tableau6[[#This Row],[Ecart 2022 2023]]/Tableau6[[#This Row],[Cumul 2022]]</f>
        <v>#N/A</v>
      </c>
      <c r="Q112" s="35" t="e">
        <f>MATCH(Tableau6[Jours Mois]&amp;"/"&amp;Tableau6[[#Headers],[2024]],tabSuiviConso[Jour Mois Année],0)</f>
        <v>#N/A</v>
      </c>
      <c r="R112" s="35" t="str">
        <f>IF(ISNA(Tableau6[[#This Row],[Position 2024]]),"",INDEX(tabSuiviConso[HP + HC
cumul],Tableau6[[#This Row],[Position 2024]],1))</f>
        <v/>
      </c>
      <c r="S112" s="56" t="e">
        <f>IF(ISNA(Tableau6[[#This Row],[Position 2024]]),Tableau6[[#This Row],[Position 2024]],Tableau6[[#This Row],[2024]]-R$2)</f>
        <v>#N/A</v>
      </c>
      <c r="T112" s="35" t="e">
        <f>Tableau6[[#This Row],[Cumul 2024]]-Tableau6[[#This Row],[Cumul 2023]]</f>
        <v>#N/A</v>
      </c>
      <c r="U112" s="36" t="e">
        <f>Tableau6[[#This Row],[Ecart 2023 2024]]/Tableau6[[#This Row],[Cumul 2023]]</f>
        <v>#N/A</v>
      </c>
    </row>
    <row r="113" spans="1:21" x14ac:dyDescent="0.2">
      <c r="A113" s="35">
        <v>4</v>
      </c>
      <c r="B113" s="35">
        <v>20</v>
      </c>
      <c r="C113" s="35" t="str">
        <f>Tableau6[Jour]&amp;"/"&amp;Tableau6[Mois]</f>
        <v>20/4</v>
      </c>
      <c r="D113" s="35" t="e">
        <f>MATCH(Tableau6[Jours Mois]&amp;"/"&amp;Tableau6[[#Headers],[2021]],tabSuiviConso[Jour Mois Année],0)</f>
        <v>#N/A</v>
      </c>
      <c r="E113" s="35" t="str">
        <f>IF(ISNA(Tableau6[[#This Row],[Position 2021]]),"",INDEX(tabSuiviConso[HP + HC
cumul],Tableau6[[#This Row],[Position 2021]],1))</f>
        <v/>
      </c>
      <c r="F113" s="56" t="e">
        <f>IF(ISNA(Tableau6[[#This Row],[Position 2021]]),Tableau6[[#This Row],[Position 2021]],Tableau6[[#This Row],[2021]]-E$2)</f>
        <v>#N/A</v>
      </c>
      <c r="G113" s="35" t="e">
        <f>MATCH(Tableau6[Jours Mois]&amp;"/"&amp;Tableau6[[#Headers],[2022]],tabSuiviConso[Jour Mois Année],0)</f>
        <v>#N/A</v>
      </c>
      <c r="H113" s="35" t="str">
        <f>IF(ISNA(Tableau6[[#This Row],[Position 2022]]),"",INDEX(tabSuiviConso[HP + HC
cumul],Tableau6[[#This Row],[Position 2022]],1))</f>
        <v/>
      </c>
      <c r="I113" s="56" t="e">
        <f>IF(ISNA(Tableau6[[#This Row],[Position 2022]]),Tableau6[[#This Row],[Position 2022]],Tableau6[[#This Row],[2022]]-H$2)</f>
        <v>#N/A</v>
      </c>
      <c r="J113" s="35" t="e">
        <f>MATCH(Tableau6[Jours Mois]&amp;"/"&amp;Tableau6[[#Headers],[2023]],tabSuiviConso[Jour Mois Année],0)</f>
        <v>#N/A</v>
      </c>
      <c r="K113" s="35" t="e">
        <f>Tableau6[[#This Row],[Cumul 2022]]-Tableau6[[#This Row],[Cumul 2021]]</f>
        <v>#N/A</v>
      </c>
      <c r="L113" s="37" t="e">
        <f>Tableau6[[#This Row],[Ecart 2021 2022]]/Tableau6[[#This Row],[Cumul 2021]]</f>
        <v>#N/A</v>
      </c>
      <c r="M113" s="35" t="str">
        <f>IF(ISNA(Tableau6[[#This Row],[Position 2023]]),"",INDEX(tabSuiviConso[HP + HC
cumul],Tableau6[[#This Row],[Position 2023]],1))</f>
        <v/>
      </c>
      <c r="N113" s="56" t="e">
        <f>IF(ISNA(Tableau6[[#This Row],[Position 2023]]),Tableau6[[#This Row],[Position 2023]],Tableau6[[#This Row],[2023]]-M$2)</f>
        <v>#N/A</v>
      </c>
      <c r="O113" s="35" t="e">
        <f>Tableau6[[#This Row],[Cumul 2023]]-Tableau6[[#This Row],[Cumul 2022]]</f>
        <v>#N/A</v>
      </c>
      <c r="P113" s="37" t="e">
        <f>Tableau6[[#This Row],[Ecart 2022 2023]]/Tableau6[[#This Row],[Cumul 2022]]</f>
        <v>#N/A</v>
      </c>
      <c r="Q113" s="35" t="e">
        <f>MATCH(Tableau6[Jours Mois]&amp;"/"&amp;Tableau6[[#Headers],[2024]],tabSuiviConso[Jour Mois Année],0)</f>
        <v>#N/A</v>
      </c>
      <c r="R113" s="35" t="str">
        <f>IF(ISNA(Tableau6[[#This Row],[Position 2024]]),"",INDEX(tabSuiviConso[HP + HC
cumul],Tableau6[[#This Row],[Position 2024]],1))</f>
        <v/>
      </c>
      <c r="S113" s="56" t="e">
        <f>IF(ISNA(Tableau6[[#This Row],[Position 2024]]),Tableau6[[#This Row],[Position 2024]],Tableau6[[#This Row],[2024]]-R$2)</f>
        <v>#N/A</v>
      </c>
      <c r="T113" s="35" t="e">
        <f>Tableau6[[#This Row],[Cumul 2024]]-Tableau6[[#This Row],[Cumul 2023]]</f>
        <v>#N/A</v>
      </c>
      <c r="U113" s="36" t="e">
        <f>Tableau6[[#This Row],[Ecart 2023 2024]]/Tableau6[[#This Row],[Cumul 2023]]</f>
        <v>#N/A</v>
      </c>
    </row>
    <row r="114" spans="1:21" x14ac:dyDescent="0.2">
      <c r="A114" s="35">
        <v>4</v>
      </c>
      <c r="B114" s="35">
        <v>21</v>
      </c>
      <c r="C114" s="35" t="str">
        <f>Tableau6[Jour]&amp;"/"&amp;Tableau6[Mois]</f>
        <v>21/4</v>
      </c>
      <c r="D114" s="35" t="e">
        <f>MATCH(Tableau6[Jours Mois]&amp;"/"&amp;Tableau6[[#Headers],[2021]],tabSuiviConso[Jour Mois Année],0)</f>
        <v>#N/A</v>
      </c>
      <c r="E114" s="35" t="str">
        <f>IF(ISNA(Tableau6[[#This Row],[Position 2021]]),"",INDEX(tabSuiviConso[HP + HC
cumul],Tableau6[[#This Row],[Position 2021]],1))</f>
        <v/>
      </c>
      <c r="F114" s="56" t="e">
        <f>IF(ISNA(Tableau6[[#This Row],[Position 2021]]),Tableau6[[#This Row],[Position 2021]],Tableau6[[#This Row],[2021]]-E$2)</f>
        <v>#N/A</v>
      </c>
      <c r="G114" s="35" t="e">
        <f>MATCH(Tableau6[Jours Mois]&amp;"/"&amp;Tableau6[[#Headers],[2022]],tabSuiviConso[Jour Mois Année],0)</f>
        <v>#N/A</v>
      </c>
      <c r="H114" s="35" t="str">
        <f>IF(ISNA(Tableau6[[#This Row],[Position 2022]]),"",INDEX(tabSuiviConso[HP + HC
cumul],Tableau6[[#This Row],[Position 2022]],1))</f>
        <v/>
      </c>
      <c r="I114" s="56" t="e">
        <f>IF(ISNA(Tableau6[[#This Row],[Position 2022]]),Tableau6[[#This Row],[Position 2022]],Tableau6[[#This Row],[2022]]-H$2)</f>
        <v>#N/A</v>
      </c>
      <c r="J114" s="35" t="e">
        <f>MATCH(Tableau6[Jours Mois]&amp;"/"&amp;Tableau6[[#Headers],[2023]],tabSuiviConso[Jour Mois Année],0)</f>
        <v>#N/A</v>
      </c>
      <c r="K114" s="35" t="e">
        <f>Tableau6[[#This Row],[Cumul 2022]]-Tableau6[[#This Row],[Cumul 2021]]</f>
        <v>#N/A</v>
      </c>
      <c r="L114" s="37" t="e">
        <f>Tableau6[[#This Row],[Ecart 2021 2022]]/Tableau6[[#This Row],[Cumul 2021]]</f>
        <v>#N/A</v>
      </c>
      <c r="M114" s="35" t="str">
        <f>IF(ISNA(Tableau6[[#This Row],[Position 2023]]),"",INDEX(tabSuiviConso[HP + HC
cumul],Tableau6[[#This Row],[Position 2023]],1))</f>
        <v/>
      </c>
      <c r="N114" s="56" t="e">
        <f>IF(ISNA(Tableau6[[#This Row],[Position 2023]]),Tableau6[[#This Row],[Position 2023]],Tableau6[[#This Row],[2023]]-M$2)</f>
        <v>#N/A</v>
      </c>
      <c r="O114" s="35" t="e">
        <f>Tableau6[[#This Row],[Cumul 2023]]-Tableau6[[#This Row],[Cumul 2022]]</f>
        <v>#N/A</v>
      </c>
      <c r="P114" s="37" t="e">
        <f>Tableau6[[#This Row],[Ecart 2022 2023]]/Tableau6[[#This Row],[Cumul 2022]]</f>
        <v>#N/A</v>
      </c>
      <c r="Q114" s="35" t="e">
        <f>MATCH(Tableau6[Jours Mois]&amp;"/"&amp;Tableau6[[#Headers],[2024]],tabSuiviConso[Jour Mois Année],0)</f>
        <v>#N/A</v>
      </c>
      <c r="R114" s="35" t="str">
        <f>IF(ISNA(Tableau6[[#This Row],[Position 2024]]),"",INDEX(tabSuiviConso[HP + HC
cumul],Tableau6[[#This Row],[Position 2024]],1))</f>
        <v/>
      </c>
      <c r="S114" s="56" t="e">
        <f>IF(ISNA(Tableau6[[#This Row],[Position 2024]]),Tableau6[[#This Row],[Position 2024]],Tableau6[[#This Row],[2024]]-R$2)</f>
        <v>#N/A</v>
      </c>
      <c r="T114" s="35" t="e">
        <f>Tableau6[[#This Row],[Cumul 2024]]-Tableau6[[#This Row],[Cumul 2023]]</f>
        <v>#N/A</v>
      </c>
      <c r="U114" s="36" t="e">
        <f>Tableau6[[#This Row],[Ecart 2023 2024]]/Tableau6[[#This Row],[Cumul 2023]]</f>
        <v>#N/A</v>
      </c>
    </row>
    <row r="115" spans="1:21" x14ac:dyDescent="0.2">
      <c r="A115" s="35">
        <v>4</v>
      </c>
      <c r="B115" s="35">
        <v>22</v>
      </c>
      <c r="C115" s="35" t="str">
        <f>Tableau6[Jour]&amp;"/"&amp;Tableau6[Mois]</f>
        <v>22/4</v>
      </c>
      <c r="D115" s="35" t="e">
        <f>MATCH(Tableau6[Jours Mois]&amp;"/"&amp;Tableau6[[#Headers],[2021]],tabSuiviConso[Jour Mois Année],0)</f>
        <v>#N/A</v>
      </c>
      <c r="E115" s="35" t="str">
        <f>IF(ISNA(Tableau6[[#This Row],[Position 2021]]),"",INDEX(tabSuiviConso[HP + HC
cumul],Tableau6[[#This Row],[Position 2021]],1))</f>
        <v/>
      </c>
      <c r="F115" s="56" t="e">
        <f>IF(ISNA(Tableau6[[#This Row],[Position 2021]]),Tableau6[[#This Row],[Position 2021]],Tableau6[[#This Row],[2021]]-E$2)</f>
        <v>#N/A</v>
      </c>
      <c r="G115" s="35" t="e">
        <f>MATCH(Tableau6[Jours Mois]&amp;"/"&amp;Tableau6[[#Headers],[2022]],tabSuiviConso[Jour Mois Année],0)</f>
        <v>#N/A</v>
      </c>
      <c r="H115" s="35" t="str">
        <f>IF(ISNA(Tableau6[[#This Row],[Position 2022]]),"",INDEX(tabSuiviConso[HP + HC
cumul],Tableau6[[#This Row],[Position 2022]],1))</f>
        <v/>
      </c>
      <c r="I115" s="56" t="e">
        <f>IF(ISNA(Tableau6[[#This Row],[Position 2022]]),Tableau6[[#This Row],[Position 2022]],Tableau6[[#This Row],[2022]]-H$2)</f>
        <v>#N/A</v>
      </c>
      <c r="J115" s="35" t="e">
        <f>MATCH(Tableau6[Jours Mois]&amp;"/"&amp;Tableau6[[#Headers],[2023]],tabSuiviConso[Jour Mois Année],0)</f>
        <v>#N/A</v>
      </c>
      <c r="K115" s="35" t="e">
        <f>Tableau6[[#This Row],[Cumul 2022]]-Tableau6[[#This Row],[Cumul 2021]]</f>
        <v>#N/A</v>
      </c>
      <c r="L115" s="37" t="e">
        <f>Tableau6[[#This Row],[Ecart 2021 2022]]/Tableau6[[#This Row],[Cumul 2021]]</f>
        <v>#N/A</v>
      </c>
      <c r="M115" s="35" t="str">
        <f>IF(ISNA(Tableau6[[#This Row],[Position 2023]]),"",INDEX(tabSuiviConso[HP + HC
cumul],Tableau6[[#This Row],[Position 2023]],1))</f>
        <v/>
      </c>
      <c r="N115" s="56" t="e">
        <f>IF(ISNA(Tableau6[[#This Row],[Position 2023]]),Tableau6[[#This Row],[Position 2023]],Tableau6[[#This Row],[2023]]-M$2)</f>
        <v>#N/A</v>
      </c>
      <c r="O115" s="35" t="e">
        <f>Tableau6[[#This Row],[Cumul 2023]]-Tableau6[[#This Row],[Cumul 2022]]</f>
        <v>#N/A</v>
      </c>
      <c r="P115" s="37" t="e">
        <f>Tableau6[[#This Row],[Ecart 2022 2023]]/Tableau6[[#This Row],[Cumul 2022]]</f>
        <v>#N/A</v>
      </c>
      <c r="Q115" s="35" t="e">
        <f>MATCH(Tableau6[Jours Mois]&amp;"/"&amp;Tableau6[[#Headers],[2024]],tabSuiviConso[Jour Mois Année],0)</f>
        <v>#N/A</v>
      </c>
      <c r="R115" s="35" t="str">
        <f>IF(ISNA(Tableau6[[#This Row],[Position 2024]]),"",INDEX(tabSuiviConso[HP + HC
cumul],Tableau6[[#This Row],[Position 2024]],1))</f>
        <v/>
      </c>
      <c r="S115" s="56" t="e">
        <f>IF(ISNA(Tableau6[[#This Row],[Position 2024]]),Tableau6[[#This Row],[Position 2024]],Tableau6[[#This Row],[2024]]-R$2)</f>
        <v>#N/A</v>
      </c>
      <c r="T115" s="35" t="e">
        <f>Tableau6[[#This Row],[Cumul 2024]]-Tableau6[[#This Row],[Cumul 2023]]</f>
        <v>#N/A</v>
      </c>
      <c r="U115" s="36" t="e">
        <f>Tableau6[[#This Row],[Ecart 2023 2024]]/Tableau6[[#This Row],[Cumul 2023]]</f>
        <v>#N/A</v>
      </c>
    </row>
    <row r="116" spans="1:21" x14ac:dyDescent="0.2">
      <c r="A116" s="35">
        <v>4</v>
      </c>
      <c r="B116" s="35">
        <v>23</v>
      </c>
      <c r="C116" s="35" t="str">
        <f>Tableau6[Jour]&amp;"/"&amp;Tableau6[Mois]</f>
        <v>23/4</v>
      </c>
      <c r="D116" s="35" t="e">
        <f>MATCH(Tableau6[Jours Mois]&amp;"/"&amp;Tableau6[[#Headers],[2021]],tabSuiviConso[Jour Mois Année],0)</f>
        <v>#N/A</v>
      </c>
      <c r="E116" s="35" t="str">
        <f>IF(ISNA(Tableau6[[#This Row],[Position 2021]]),"",INDEX(tabSuiviConso[HP + HC
cumul],Tableau6[[#This Row],[Position 2021]],1))</f>
        <v/>
      </c>
      <c r="F116" s="56" t="e">
        <f>IF(ISNA(Tableau6[[#This Row],[Position 2021]]),Tableau6[[#This Row],[Position 2021]],Tableau6[[#This Row],[2021]]-E$2)</f>
        <v>#N/A</v>
      </c>
      <c r="G116" s="35" t="e">
        <f>MATCH(Tableau6[Jours Mois]&amp;"/"&amp;Tableau6[[#Headers],[2022]],tabSuiviConso[Jour Mois Année],0)</f>
        <v>#N/A</v>
      </c>
      <c r="H116" s="35" t="str">
        <f>IF(ISNA(Tableau6[[#This Row],[Position 2022]]),"",INDEX(tabSuiviConso[HP + HC
cumul],Tableau6[[#This Row],[Position 2022]],1))</f>
        <v/>
      </c>
      <c r="I116" s="56" t="e">
        <f>IF(ISNA(Tableau6[[#This Row],[Position 2022]]),Tableau6[[#This Row],[Position 2022]],Tableau6[[#This Row],[2022]]-H$2)</f>
        <v>#N/A</v>
      </c>
      <c r="J116" s="35" t="e">
        <f>MATCH(Tableau6[Jours Mois]&amp;"/"&amp;Tableau6[[#Headers],[2023]],tabSuiviConso[Jour Mois Année],0)</f>
        <v>#N/A</v>
      </c>
      <c r="K116" s="35" t="e">
        <f>Tableau6[[#This Row],[Cumul 2022]]-Tableau6[[#This Row],[Cumul 2021]]</f>
        <v>#N/A</v>
      </c>
      <c r="L116" s="37" t="e">
        <f>Tableau6[[#This Row],[Ecart 2021 2022]]/Tableau6[[#This Row],[Cumul 2021]]</f>
        <v>#N/A</v>
      </c>
      <c r="M116" s="35" t="str">
        <f>IF(ISNA(Tableau6[[#This Row],[Position 2023]]),"",INDEX(tabSuiviConso[HP + HC
cumul],Tableau6[[#This Row],[Position 2023]],1))</f>
        <v/>
      </c>
      <c r="N116" s="56" t="e">
        <f>IF(ISNA(Tableau6[[#This Row],[Position 2023]]),Tableau6[[#This Row],[Position 2023]],Tableau6[[#This Row],[2023]]-M$2)</f>
        <v>#N/A</v>
      </c>
      <c r="O116" s="35" t="e">
        <f>Tableau6[[#This Row],[Cumul 2023]]-Tableau6[[#This Row],[Cumul 2022]]</f>
        <v>#N/A</v>
      </c>
      <c r="P116" s="37" t="e">
        <f>Tableau6[[#This Row],[Ecart 2022 2023]]/Tableau6[[#This Row],[Cumul 2022]]</f>
        <v>#N/A</v>
      </c>
      <c r="Q116" s="35" t="e">
        <f>MATCH(Tableau6[Jours Mois]&amp;"/"&amp;Tableau6[[#Headers],[2024]],tabSuiviConso[Jour Mois Année],0)</f>
        <v>#N/A</v>
      </c>
      <c r="R116" s="35" t="str">
        <f>IF(ISNA(Tableau6[[#This Row],[Position 2024]]),"",INDEX(tabSuiviConso[HP + HC
cumul],Tableau6[[#This Row],[Position 2024]],1))</f>
        <v/>
      </c>
      <c r="S116" s="56" t="e">
        <f>IF(ISNA(Tableau6[[#This Row],[Position 2024]]),Tableau6[[#This Row],[Position 2024]],Tableau6[[#This Row],[2024]]-R$2)</f>
        <v>#N/A</v>
      </c>
      <c r="T116" s="35" t="e">
        <f>Tableau6[[#This Row],[Cumul 2024]]-Tableau6[[#This Row],[Cumul 2023]]</f>
        <v>#N/A</v>
      </c>
      <c r="U116" s="36" t="e">
        <f>Tableau6[[#This Row],[Ecart 2023 2024]]/Tableau6[[#This Row],[Cumul 2023]]</f>
        <v>#N/A</v>
      </c>
    </row>
    <row r="117" spans="1:21" x14ac:dyDescent="0.2">
      <c r="A117" s="35">
        <v>4</v>
      </c>
      <c r="B117" s="35">
        <v>24</v>
      </c>
      <c r="C117" s="35" t="str">
        <f>Tableau6[Jour]&amp;"/"&amp;Tableau6[Mois]</f>
        <v>24/4</v>
      </c>
      <c r="D117" s="35" t="e">
        <f>MATCH(Tableau6[Jours Mois]&amp;"/"&amp;Tableau6[[#Headers],[2021]],tabSuiviConso[Jour Mois Année],0)</f>
        <v>#N/A</v>
      </c>
      <c r="E117" s="35" t="str">
        <f>IF(ISNA(Tableau6[[#This Row],[Position 2021]]),"",INDEX(tabSuiviConso[HP + HC
cumul],Tableau6[[#This Row],[Position 2021]],1))</f>
        <v/>
      </c>
      <c r="F117" s="56" t="e">
        <f>IF(ISNA(Tableau6[[#This Row],[Position 2021]]),Tableau6[[#This Row],[Position 2021]],Tableau6[[#This Row],[2021]]-E$2)</f>
        <v>#N/A</v>
      </c>
      <c r="G117" s="35" t="e">
        <f>MATCH(Tableau6[Jours Mois]&amp;"/"&amp;Tableau6[[#Headers],[2022]],tabSuiviConso[Jour Mois Année],0)</f>
        <v>#N/A</v>
      </c>
      <c r="H117" s="35" t="str">
        <f>IF(ISNA(Tableau6[[#This Row],[Position 2022]]),"",INDEX(tabSuiviConso[HP + HC
cumul],Tableau6[[#This Row],[Position 2022]],1))</f>
        <v/>
      </c>
      <c r="I117" s="56" t="e">
        <f>IF(ISNA(Tableau6[[#This Row],[Position 2022]]),Tableau6[[#This Row],[Position 2022]],Tableau6[[#This Row],[2022]]-H$2)</f>
        <v>#N/A</v>
      </c>
      <c r="J117" s="35" t="e">
        <f>MATCH(Tableau6[Jours Mois]&amp;"/"&amp;Tableau6[[#Headers],[2023]],tabSuiviConso[Jour Mois Année],0)</f>
        <v>#N/A</v>
      </c>
      <c r="K117" s="35" t="e">
        <f>Tableau6[[#This Row],[Cumul 2022]]-Tableau6[[#This Row],[Cumul 2021]]</f>
        <v>#N/A</v>
      </c>
      <c r="L117" s="37" t="e">
        <f>Tableau6[[#This Row],[Ecart 2021 2022]]/Tableau6[[#This Row],[Cumul 2021]]</f>
        <v>#N/A</v>
      </c>
      <c r="M117" s="35" t="str">
        <f>IF(ISNA(Tableau6[[#This Row],[Position 2023]]),"",INDEX(tabSuiviConso[HP + HC
cumul],Tableau6[[#This Row],[Position 2023]],1))</f>
        <v/>
      </c>
      <c r="N117" s="56" t="e">
        <f>IF(ISNA(Tableau6[[#This Row],[Position 2023]]),Tableau6[[#This Row],[Position 2023]],Tableau6[[#This Row],[2023]]-M$2)</f>
        <v>#N/A</v>
      </c>
      <c r="O117" s="35" t="e">
        <f>Tableau6[[#This Row],[Cumul 2023]]-Tableau6[[#This Row],[Cumul 2022]]</f>
        <v>#N/A</v>
      </c>
      <c r="P117" s="37" t="e">
        <f>Tableau6[[#This Row],[Ecart 2022 2023]]/Tableau6[[#This Row],[Cumul 2022]]</f>
        <v>#N/A</v>
      </c>
      <c r="Q117" s="35" t="e">
        <f>MATCH(Tableau6[Jours Mois]&amp;"/"&amp;Tableau6[[#Headers],[2024]],tabSuiviConso[Jour Mois Année],0)</f>
        <v>#N/A</v>
      </c>
      <c r="R117" s="35" t="str">
        <f>IF(ISNA(Tableau6[[#This Row],[Position 2024]]),"",INDEX(tabSuiviConso[HP + HC
cumul],Tableau6[[#This Row],[Position 2024]],1))</f>
        <v/>
      </c>
      <c r="S117" s="56" t="e">
        <f>IF(ISNA(Tableau6[[#This Row],[Position 2024]]),Tableau6[[#This Row],[Position 2024]],Tableau6[[#This Row],[2024]]-R$2)</f>
        <v>#N/A</v>
      </c>
      <c r="T117" s="35" t="e">
        <f>Tableau6[[#This Row],[Cumul 2024]]-Tableau6[[#This Row],[Cumul 2023]]</f>
        <v>#N/A</v>
      </c>
      <c r="U117" s="36" t="e">
        <f>Tableau6[[#This Row],[Ecart 2023 2024]]/Tableau6[[#This Row],[Cumul 2023]]</f>
        <v>#N/A</v>
      </c>
    </row>
    <row r="118" spans="1:21" x14ac:dyDescent="0.2">
      <c r="A118" s="35">
        <v>4</v>
      </c>
      <c r="B118" s="35">
        <v>25</v>
      </c>
      <c r="C118" s="35" t="str">
        <f>Tableau6[Jour]&amp;"/"&amp;Tableau6[Mois]</f>
        <v>25/4</v>
      </c>
      <c r="D118" s="35" t="e">
        <f>MATCH(Tableau6[Jours Mois]&amp;"/"&amp;Tableau6[[#Headers],[2021]],tabSuiviConso[Jour Mois Année],0)</f>
        <v>#N/A</v>
      </c>
      <c r="E118" s="35" t="str">
        <f>IF(ISNA(Tableau6[[#This Row],[Position 2021]]),"",INDEX(tabSuiviConso[HP + HC
cumul],Tableau6[[#This Row],[Position 2021]],1))</f>
        <v/>
      </c>
      <c r="F118" s="56" t="e">
        <f>IF(ISNA(Tableau6[[#This Row],[Position 2021]]),Tableau6[[#This Row],[Position 2021]],Tableau6[[#This Row],[2021]]-E$2)</f>
        <v>#N/A</v>
      </c>
      <c r="G118" s="35" t="e">
        <f>MATCH(Tableau6[Jours Mois]&amp;"/"&amp;Tableau6[[#Headers],[2022]],tabSuiviConso[Jour Mois Année],0)</f>
        <v>#N/A</v>
      </c>
      <c r="H118" s="35" t="str">
        <f>IF(ISNA(Tableau6[[#This Row],[Position 2022]]),"",INDEX(tabSuiviConso[HP + HC
cumul],Tableau6[[#This Row],[Position 2022]],1))</f>
        <v/>
      </c>
      <c r="I118" s="56" t="e">
        <f>IF(ISNA(Tableau6[[#This Row],[Position 2022]]),Tableau6[[#This Row],[Position 2022]],Tableau6[[#This Row],[2022]]-H$2)</f>
        <v>#N/A</v>
      </c>
      <c r="J118" s="35" t="e">
        <f>MATCH(Tableau6[Jours Mois]&amp;"/"&amp;Tableau6[[#Headers],[2023]],tabSuiviConso[Jour Mois Année],0)</f>
        <v>#N/A</v>
      </c>
      <c r="K118" s="35" t="e">
        <f>Tableau6[[#This Row],[Cumul 2022]]-Tableau6[[#This Row],[Cumul 2021]]</f>
        <v>#N/A</v>
      </c>
      <c r="L118" s="37" t="e">
        <f>Tableau6[[#This Row],[Ecart 2021 2022]]/Tableau6[[#This Row],[Cumul 2021]]</f>
        <v>#N/A</v>
      </c>
      <c r="M118" s="35" t="str">
        <f>IF(ISNA(Tableau6[[#This Row],[Position 2023]]),"",INDEX(tabSuiviConso[HP + HC
cumul],Tableau6[[#This Row],[Position 2023]],1))</f>
        <v/>
      </c>
      <c r="N118" s="56" t="e">
        <f>IF(ISNA(Tableau6[[#This Row],[Position 2023]]),Tableau6[[#This Row],[Position 2023]],Tableau6[[#This Row],[2023]]-M$2)</f>
        <v>#N/A</v>
      </c>
      <c r="O118" s="35" t="e">
        <f>Tableau6[[#This Row],[Cumul 2023]]-Tableau6[[#This Row],[Cumul 2022]]</f>
        <v>#N/A</v>
      </c>
      <c r="P118" s="37" t="e">
        <f>Tableau6[[#This Row],[Ecart 2022 2023]]/Tableau6[[#This Row],[Cumul 2022]]</f>
        <v>#N/A</v>
      </c>
      <c r="Q118" s="35" t="e">
        <f>MATCH(Tableau6[Jours Mois]&amp;"/"&amp;Tableau6[[#Headers],[2024]],tabSuiviConso[Jour Mois Année],0)</f>
        <v>#N/A</v>
      </c>
      <c r="R118" s="35" t="str">
        <f>IF(ISNA(Tableau6[[#This Row],[Position 2024]]),"",INDEX(tabSuiviConso[HP + HC
cumul],Tableau6[[#This Row],[Position 2024]],1))</f>
        <v/>
      </c>
      <c r="S118" s="56" t="e">
        <f>IF(ISNA(Tableau6[[#This Row],[Position 2024]]),Tableau6[[#This Row],[Position 2024]],Tableau6[[#This Row],[2024]]-R$2)</f>
        <v>#N/A</v>
      </c>
      <c r="T118" s="35" t="e">
        <f>Tableau6[[#This Row],[Cumul 2024]]-Tableau6[[#This Row],[Cumul 2023]]</f>
        <v>#N/A</v>
      </c>
      <c r="U118" s="36" t="e">
        <f>Tableau6[[#This Row],[Ecart 2023 2024]]/Tableau6[[#This Row],[Cumul 2023]]</f>
        <v>#N/A</v>
      </c>
    </row>
    <row r="119" spans="1:21" x14ac:dyDescent="0.2">
      <c r="A119" s="35">
        <v>4</v>
      </c>
      <c r="B119" s="35">
        <v>26</v>
      </c>
      <c r="C119" s="35" t="str">
        <f>Tableau6[Jour]&amp;"/"&amp;Tableau6[Mois]</f>
        <v>26/4</v>
      </c>
      <c r="D119" s="35" t="e">
        <f>MATCH(Tableau6[Jours Mois]&amp;"/"&amp;Tableau6[[#Headers],[2021]],tabSuiviConso[Jour Mois Année],0)</f>
        <v>#N/A</v>
      </c>
      <c r="E119" s="35" t="str">
        <f>IF(ISNA(Tableau6[[#This Row],[Position 2021]]),"",INDEX(tabSuiviConso[HP + HC
cumul],Tableau6[[#This Row],[Position 2021]],1))</f>
        <v/>
      </c>
      <c r="F119" s="56" t="e">
        <f>IF(ISNA(Tableau6[[#This Row],[Position 2021]]),Tableau6[[#This Row],[Position 2021]],Tableau6[[#This Row],[2021]]-E$2)</f>
        <v>#N/A</v>
      </c>
      <c r="G119" s="35" t="e">
        <f>MATCH(Tableau6[Jours Mois]&amp;"/"&amp;Tableau6[[#Headers],[2022]],tabSuiviConso[Jour Mois Année],0)</f>
        <v>#N/A</v>
      </c>
      <c r="H119" s="35" t="str">
        <f>IF(ISNA(Tableau6[[#This Row],[Position 2022]]),"",INDEX(tabSuiviConso[HP + HC
cumul],Tableau6[[#This Row],[Position 2022]],1))</f>
        <v/>
      </c>
      <c r="I119" s="56" t="e">
        <f>IF(ISNA(Tableau6[[#This Row],[Position 2022]]),Tableau6[[#This Row],[Position 2022]],Tableau6[[#This Row],[2022]]-H$2)</f>
        <v>#N/A</v>
      </c>
      <c r="J119" s="35" t="e">
        <f>MATCH(Tableau6[Jours Mois]&amp;"/"&amp;Tableau6[[#Headers],[2023]],tabSuiviConso[Jour Mois Année],0)</f>
        <v>#N/A</v>
      </c>
      <c r="K119" s="35" t="e">
        <f>Tableau6[[#This Row],[Cumul 2022]]-Tableau6[[#This Row],[Cumul 2021]]</f>
        <v>#N/A</v>
      </c>
      <c r="L119" s="37" t="e">
        <f>Tableau6[[#This Row],[Ecart 2021 2022]]/Tableau6[[#This Row],[Cumul 2021]]</f>
        <v>#N/A</v>
      </c>
      <c r="M119" s="35" t="str">
        <f>IF(ISNA(Tableau6[[#This Row],[Position 2023]]),"",INDEX(tabSuiviConso[HP + HC
cumul],Tableau6[[#This Row],[Position 2023]],1))</f>
        <v/>
      </c>
      <c r="N119" s="56" t="e">
        <f>IF(ISNA(Tableau6[[#This Row],[Position 2023]]),Tableau6[[#This Row],[Position 2023]],Tableau6[[#This Row],[2023]]-M$2)</f>
        <v>#N/A</v>
      </c>
      <c r="O119" s="35" t="e">
        <f>Tableau6[[#This Row],[Cumul 2023]]-Tableau6[[#This Row],[Cumul 2022]]</f>
        <v>#N/A</v>
      </c>
      <c r="P119" s="37" t="e">
        <f>Tableau6[[#This Row],[Ecart 2022 2023]]/Tableau6[[#This Row],[Cumul 2022]]</f>
        <v>#N/A</v>
      </c>
      <c r="Q119" s="35" t="e">
        <f>MATCH(Tableau6[Jours Mois]&amp;"/"&amp;Tableau6[[#Headers],[2024]],tabSuiviConso[Jour Mois Année],0)</f>
        <v>#N/A</v>
      </c>
      <c r="R119" s="35" t="str">
        <f>IF(ISNA(Tableau6[[#This Row],[Position 2024]]),"",INDEX(tabSuiviConso[HP + HC
cumul],Tableau6[[#This Row],[Position 2024]],1))</f>
        <v/>
      </c>
      <c r="S119" s="56" t="e">
        <f>IF(ISNA(Tableau6[[#This Row],[Position 2024]]),Tableau6[[#This Row],[Position 2024]],Tableau6[[#This Row],[2024]]-R$2)</f>
        <v>#N/A</v>
      </c>
      <c r="T119" s="35" t="e">
        <f>Tableau6[[#This Row],[Cumul 2024]]-Tableau6[[#This Row],[Cumul 2023]]</f>
        <v>#N/A</v>
      </c>
      <c r="U119" s="36" t="e">
        <f>Tableau6[[#This Row],[Ecart 2023 2024]]/Tableau6[[#This Row],[Cumul 2023]]</f>
        <v>#N/A</v>
      </c>
    </row>
    <row r="120" spans="1:21" x14ac:dyDescent="0.2">
      <c r="A120" s="35">
        <v>4</v>
      </c>
      <c r="B120" s="35">
        <v>27</v>
      </c>
      <c r="C120" s="35" t="str">
        <f>Tableau6[Jour]&amp;"/"&amp;Tableau6[Mois]</f>
        <v>27/4</v>
      </c>
      <c r="D120" s="35" t="e">
        <f>MATCH(Tableau6[Jours Mois]&amp;"/"&amp;Tableau6[[#Headers],[2021]],tabSuiviConso[Jour Mois Année],0)</f>
        <v>#N/A</v>
      </c>
      <c r="E120" s="35" t="str">
        <f>IF(ISNA(Tableau6[[#This Row],[Position 2021]]),"",INDEX(tabSuiviConso[HP + HC
cumul],Tableau6[[#This Row],[Position 2021]],1))</f>
        <v/>
      </c>
      <c r="F120" s="56" t="e">
        <f>IF(ISNA(Tableau6[[#This Row],[Position 2021]]),Tableau6[[#This Row],[Position 2021]],Tableau6[[#This Row],[2021]]-E$2)</f>
        <v>#N/A</v>
      </c>
      <c r="G120" s="35" t="e">
        <f>MATCH(Tableau6[Jours Mois]&amp;"/"&amp;Tableau6[[#Headers],[2022]],tabSuiviConso[Jour Mois Année],0)</f>
        <v>#N/A</v>
      </c>
      <c r="H120" s="35" t="str">
        <f>IF(ISNA(Tableau6[[#This Row],[Position 2022]]),"",INDEX(tabSuiviConso[HP + HC
cumul],Tableau6[[#This Row],[Position 2022]],1))</f>
        <v/>
      </c>
      <c r="I120" s="56" t="e">
        <f>IF(ISNA(Tableau6[[#This Row],[Position 2022]]),Tableau6[[#This Row],[Position 2022]],Tableau6[[#This Row],[2022]]-H$2)</f>
        <v>#N/A</v>
      </c>
      <c r="J120" s="35" t="e">
        <f>MATCH(Tableau6[Jours Mois]&amp;"/"&amp;Tableau6[[#Headers],[2023]],tabSuiviConso[Jour Mois Année],0)</f>
        <v>#N/A</v>
      </c>
      <c r="K120" s="35" t="e">
        <f>Tableau6[[#This Row],[Cumul 2022]]-Tableau6[[#This Row],[Cumul 2021]]</f>
        <v>#N/A</v>
      </c>
      <c r="L120" s="37" t="e">
        <f>Tableau6[[#This Row],[Ecart 2021 2022]]/Tableau6[[#This Row],[Cumul 2021]]</f>
        <v>#N/A</v>
      </c>
      <c r="M120" s="35" t="str">
        <f>IF(ISNA(Tableau6[[#This Row],[Position 2023]]),"",INDEX(tabSuiviConso[HP + HC
cumul],Tableau6[[#This Row],[Position 2023]],1))</f>
        <v/>
      </c>
      <c r="N120" s="56" t="e">
        <f>IF(ISNA(Tableau6[[#This Row],[Position 2023]]),Tableau6[[#This Row],[Position 2023]],Tableau6[[#This Row],[2023]]-M$2)</f>
        <v>#N/A</v>
      </c>
      <c r="O120" s="35" t="e">
        <f>Tableau6[[#This Row],[Cumul 2023]]-Tableau6[[#This Row],[Cumul 2022]]</f>
        <v>#N/A</v>
      </c>
      <c r="P120" s="37" t="e">
        <f>Tableau6[[#This Row],[Ecart 2022 2023]]/Tableau6[[#This Row],[Cumul 2022]]</f>
        <v>#N/A</v>
      </c>
      <c r="Q120" s="35" t="e">
        <f>MATCH(Tableau6[Jours Mois]&amp;"/"&amp;Tableau6[[#Headers],[2024]],tabSuiviConso[Jour Mois Année],0)</f>
        <v>#N/A</v>
      </c>
      <c r="R120" s="35" t="str">
        <f>IF(ISNA(Tableau6[[#This Row],[Position 2024]]),"",INDEX(tabSuiviConso[HP + HC
cumul],Tableau6[[#This Row],[Position 2024]],1))</f>
        <v/>
      </c>
      <c r="S120" s="56" t="e">
        <f>IF(ISNA(Tableau6[[#This Row],[Position 2024]]),Tableau6[[#This Row],[Position 2024]],Tableau6[[#This Row],[2024]]-R$2)</f>
        <v>#N/A</v>
      </c>
      <c r="T120" s="35" t="e">
        <f>Tableau6[[#This Row],[Cumul 2024]]-Tableau6[[#This Row],[Cumul 2023]]</f>
        <v>#N/A</v>
      </c>
      <c r="U120" s="36" t="e">
        <f>Tableau6[[#This Row],[Ecart 2023 2024]]/Tableau6[[#This Row],[Cumul 2023]]</f>
        <v>#N/A</v>
      </c>
    </row>
    <row r="121" spans="1:21" x14ac:dyDescent="0.2">
      <c r="A121" s="35">
        <v>4</v>
      </c>
      <c r="B121" s="35">
        <v>28</v>
      </c>
      <c r="C121" s="35" t="str">
        <f>Tableau6[Jour]&amp;"/"&amp;Tableau6[Mois]</f>
        <v>28/4</v>
      </c>
      <c r="D121" s="35" t="e">
        <f>MATCH(Tableau6[Jours Mois]&amp;"/"&amp;Tableau6[[#Headers],[2021]],tabSuiviConso[Jour Mois Année],0)</f>
        <v>#N/A</v>
      </c>
      <c r="E121" s="35" t="str">
        <f>IF(ISNA(Tableau6[[#This Row],[Position 2021]]),"",INDEX(tabSuiviConso[HP + HC
cumul],Tableau6[[#This Row],[Position 2021]],1))</f>
        <v/>
      </c>
      <c r="F121" s="56" t="e">
        <f>IF(ISNA(Tableau6[[#This Row],[Position 2021]]),Tableau6[[#This Row],[Position 2021]],Tableau6[[#This Row],[2021]]-E$2)</f>
        <v>#N/A</v>
      </c>
      <c r="G121" s="35" t="e">
        <f>MATCH(Tableau6[Jours Mois]&amp;"/"&amp;Tableau6[[#Headers],[2022]],tabSuiviConso[Jour Mois Année],0)</f>
        <v>#N/A</v>
      </c>
      <c r="H121" s="35" t="str">
        <f>IF(ISNA(Tableau6[[#This Row],[Position 2022]]),"",INDEX(tabSuiviConso[HP + HC
cumul],Tableau6[[#This Row],[Position 2022]],1))</f>
        <v/>
      </c>
      <c r="I121" s="56" t="e">
        <f>IF(ISNA(Tableau6[[#This Row],[Position 2022]]),Tableau6[[#This Row],[Position 2022]],Tableau6[[#This Row],[2022]]-H$2)</f>
        <v>#N/A</v>
      </c>
      <c r="J121" s="35" t="e">
        <f>MATCH(Tableau6[Jours Mois]&amp;"/"&amp;Tableau6[[#Headers],[2023]],tabSuiviConso[Jour Mois Année],0)</f>
        <v>#N/A</v>
      </c>
      <c r="K121" s="35" t="e">
        <f>Tableau6[[#This Row],[Cumul 2022]]-Tableau6[[#This Row],[Cumul 2021]]</f>
        <v>#N/A</v>
      </c>
      <c r="L121" s="37" t="e">
        <f>Tableau6[[#This Row],[Ecart 2021 2022]]/Tableau6[[#This Row],[Cumul 2021]]</f>
        <v>#N/A</v>
      </c>
      <c r="M121" s="35" t="str">
        <f>IF(ISNA(Tableau6[[#This Row],[Position 2023]]),"",INDEX(tabSuiviConso[HP + HC
cumul],Tableau6[[#This Row],[Position 2023]],1))</f>
        <v/>
      </c>
      <c r="N121" s="56" t="e">
        <f>IF(ISNA(Tableau6[[#This Row],[Position 2023]]),Tableau6[[#This Row],[Position 2023]],Tableau6[[#This Row],[2023]]-M$2)</f>
        <v>#N/A</v>
      </c>
      <c r="O121" s="35" t="e">
        <f>Tableau6[[#This Row],[Cumul 2023]]-Tableau6[[#This Row],[Cumul 2022]]</f>
        <v>#N/A</v>
      </c>
      <c r="P121" s="37" t="e">
        <f>Tableau6[[#This Row],[Ecart 2022 2023]]/Tableau6[[#This Row],[Cumul 2022]]</f>
        <v>#N/A</v>
      </c>
      <c r="Q121" s="35" t="e">
        <f>MATCH(Tableau6[Jours Mois]&amp;"/"&amp;Tableau6[[#Headers],[2024]],tabSuiviConso[Jour Mois Année],0)</f>
        <v>#N/A</v>
      </c>
      <c r="R121" s="35" t="str">
        <f>IF(ISNA(Tableau6[[#This Row],[Position 2024]]),"",INDEX(tabSuiviConso[HP + HC
cumul],Tableau6[[#This Row],[Position 2024]],1))</f>
        <v/>
      </c>
      <c r="S121" s="56" t="e">
        <f>IF(ISNA(Tableau6[[#This Row],[Position 2024]]),Tableau6[[#This Row],[Position 2024]],Tableau6[[#This Row],[2024]]-R$2)</f>
        <v>#N/A</v>
      </c>
      <c r="T121" s="35" t="e">
        <f>Tableau6[[#This Row],[Cumul 2024]]-Tableau6[[#This Row],[Cumul 2023]]</f>
        <v>#N/A</v>
      </c>
      <c r="U121" s="36" t="e">
        <f>Tableau6[[#This Row],[Ecart 2023 2024]]/Tableau6[[#This Row],[Cumul 2023]]</f>
        <v>#N/A</v>
      </c>
    </row>
    <row r="122" spans="1:21" x14ac:dyDescent="0.2">
      <c r="A122" s="35">
        <v>4</v>
      </c>
      <c r="B122" s="35">
        <v>29</v>
      </c>
      <c r="C122" s="35" t="str">
        <f>Tableau6[Jour]&amp;"/"&amp;Tableau6[Mois]</f>
        <v>29/4</v>
      </c>
      <c r="D122" s="35" t="e">
        <f>MATCH(Tableau6[Jours Mois]&amp;"/"&amp;Tableau6[[#Headers],[2021]],tabSuiviConso[Jour Mois Année],0)</f>
        <v>#N/A</v>
      </c>
      <c r="E122" s="35" t="str">
        <f>IF(ISNA(Tableau6[[#This Row],[Position 2021]]),"",INDEX(tabSuiviConso[HP + HC
cumul],Tableau6[[#This Row],[Position 2021]],1))</f>
        <v/>
      </c>
      <c r="F122" s="56" t="e">
        <f>IF(ISNA(Tableau6[[#This Row],[Position 2021]]),Tableau6[[#This Row],[Position 2021]],Tableau6[[#This Row],[2021]]-E$2)</f>
        <v>#N/A</v>
      </c>
      <c r="G122" s="35" t="e">
        <f>MATCH(Tableau6[Jours Mois]&amp;"/"&amp;Tableau6[[#Headers],[2022]],tabSuiviConso[Jour Mois Année],0)</f>
        <v>#N/A</v>
      </c>
      <c r="H122" s="35" t="str">
        <f>IF(ISNA(Tableau6[[#This Row],[Position 2022]]),"",INDEX(tabSuiviConso[HP + HC
cumul],Tableau6[[#This Row],[Position 2022]],1))</f>
        <v/>
      </c>
      <c r="I122" s="56" t="e">
        <f>IF(ISNA(Tableau6[[#This Row],[Position 2022]]),Tableau6[[#This Row],[Position 2022]],Tableau6[[#This Row],[2022]]-H$2)</f>
        <v>#N/A</v>
      </c>
      <c r="J122" s="35" t="e">
        <f>MATCH(Tableau6[Jours Mois]&amp;"/"&amp;Tableau6[[#Headers],[2023]],tabSuiviConso[Jour Mois Année],0)</f>
        <v>#N/A</v>
      </c>
      <c r="K122" s="35" t="e">
        <f>Tableau6[[#This Row],[Cumul 2022]]-Tableau6[[#This Row],[Cumul 2021]]</f>
        <v>#N/A</v>
      </c>
      <c r="L122" s="37" t="e">
        <f>Tableau6[[#This Row],[Ecart 2021 2022]]/Tableau6[[#This Row],[Cumul 2021]]</f>
        <v>#N/A</v>
      </c>
      <c r="M122" s="35" t="str">
        <f>IF(ISNA(Tableau6[[#This Row],[Position 2023]]),"",INDEX(tabSuiviConso[HP + HC
cumul],Tableau6[[#This Row],[Position 2023]],1))</f>
        <v/>
      </c>
      <c r="N122" s="56" t="e">
        <f>IF(ISNA(Tableau6[[#This Row],[Position 2023]]),Tableau6[[#This Row],[Position 2023]],Tableau6[[#This Row],[2023]]-M$2)</f>
        <v>#N/A</v>
      </c>
      <c r="O122" s="35" t="e">
        <f>Tableau6[[#This Row],[Cumul 2023]]-Tableau6[[#This Row],[Cumul 2022]]</f>
        <v>#N/A</v>
      </c>
      <c r="P122" s="37" t="e">
        <f>Tableau6[[#This Row],[Ecart 2022 2023]]/Tableau6[[#This Row],[Cumul 2022]]</f>
        <v>#N/A</v>
      </c>
      <c r="Q122" s="35" t="e">
        <f>MATCH(Tableau6[Jours Mois]&amp;"/"&amp;Tableau6[[#Headers],[2024]],tabSuiviConso[Jour Mois Année],0)</f>
        <v>#N/A</v>
      </c>
      <c r="R122" s="35" t="str">
        <f>IF(ISNA(Tableau6[[#This Row],[Position 2024]]),"",INDEX(tabSuiviConso[HP + HC
cumul],Tableau6[[#This Row],[Position 2024]],1))</f>
        <v/>
      </c>
      <c r="S122" s="56" t="e">
        <f>IF(ISNA(Tableau6[[#This Row],[Position 2024]]),Tableau6[[#This Row],[Position 2024]],Tableau6[[#This Row],[2024]]-R$2)</f>
        <v>#N/A</v>
      </c>
      <c r="T122" s="35" t="e">
        <f>Tableau6[[#This Row],[Cumul 2024]]-Tableau6[[#This Row],[Cumul 2023]]</f>
        <v>#N/A</v>
      </c>
      <c r="U122" s="36" t="e">
        <f>Tableau6[[#This Row],[Ecart 2023 2024]]/Tableau6[[#This Row],[Cumul 2023]]</f>
        <v>#N/A</v>
      </c>
    </row>
    <row r="123" spans="1:21" x14ac:dyDescent="0.2">
      <c r="A123" s="35">
        <v>4</v>
      </c>
      <c r="B123" s="35">
        <v>30</v>
      </c>
      <c r="C123" s="35" t="str">
        <f>Tableau6[Jour]&amp;"/"&amp;Tableau6[Mois]</f>
        <v>30/4</v>
      </c>
      <c r="D123" s="35" t="e">
        <f>MATCH(Tableau6[Jours Mois]&amp;"/"&amp;Tableau6[[#Headers],[2021]],tabSuiviConso[Jour Mois Année],0)</f>
        <v>#N/A</v>
      </c>
      <c r="E123" s="35" t="str">
        <f>IF(ISNA(Tableau6[[#This Row],[Position 2021]]),"",INDEX(tabSuiviConso[HP + HC
cumul],Tableau6[[#This Row],[Position 2021]],1))</f>
        <v/>
      </c>
      <c r="F123" s="56" t="e">
        <f>IF(ISNA(Tableau6[[#This Row],[Position 2021]]),Tableau6[[#This Row],[Position 2021]],Tableau6[[#This Row],[2021]]-E$2)</f>
        <v>#N/A</v>
      </c>
      <c r="G123" s="35" t="e">
        <f>MATCH(Tableau6[Jours Mois]&amp;"/"&amp;Tableau6[[#Headers],[2022]],tabSuiviConso[Jour Mois Année],0)</f>
        <v>#N/A</v>
      </c>
      <c r="H123" s="35" t="str">
        <f>IF(ISNA(Tableau6[[#This Row],[Position 2022]]),"",INDEX(tabSuiviConso[HP + HC
cumul],Tableau6[[#This Row],[Position 2022]],1))</f>
        <v/>
      </c>
      <c r="I123" s="56" t="e">
        <f>IF(ISNA(Tableau6[[#This Row],[Position 2022]]),Tableau6[[#This Row],[Position 2022]],Tableau6[[#This Row],[2022]]-H$2)</f>
        <v>#N/A</v>
      </c>
      <c r="J123" s="35" t="e">
        <f>MATCH(Tableau6[Jours Mois]&amp;"/"&amp;Tableau6[[#Headers],[2023]],tabSuiviConso[Jour Mois Année],0)</f>
        <v>#N/A</v>
      </c>
      <c r="K123" s="35" t="e">
        <f>Tableau6[[#This Row],[Cumul 2022]]-Tableau6[[#This Row],[Cumul 2021]]</f>
        <v>#N/A</v>
      </c>
      <c r="L123" s="37" t="e">
        <f>Tableau6[[#This Row],[Ecart 2021 2022]]/Tableau6[[#This Row],[Cumul 2021]]</f>
        <v>#N/A</v>
      </c>
      <c r="M123" s="35" t="str">
        <f>IF(ISNA(Tableau6[[#This Row],[Position 2023]]),"",INDEX(tabSuiviConso[HP + HC
cumul],Tableau6[[#This Row],[Position 2023]],1))</f>
        <v/>
      </c>
      <c r="N123" s="56" t="e">
        <f>IF(ISNA(Tableau6[[#This Row],[Position 2023]]),Tableau6[[#This Row],[Position 2023]],Tableau6[[#This Row],[2023]]-M$2)</f>
        <v>#N/A</v>
      </c>
      <c r="O123" s="35" t="e">
        <f>Tableau6[[#This Row],[Cumul 2023]]-Tableau6[[#This Row],[Cumul 2022]]</f>
        <v>#N/A</v>
      </c>
      <c r="P123" s="37" t="e">
        <f>Tableau6[[#This Row],[Ecart 2022 2023]]/Tableau6[[#This Row],[Cumul 2022]]</f>
        <v>#N/A</v>
      </c>
      <c r="Q123" s="35" t="e">
        <f>MATCH(Tableau6[Jours Mois]&amp;"/"&amp;Tableau6[[#Headers],[2024]],tabSuiviConso[Jour Mois Année],0)</f>
        <v>#N/A</v>
      </c>
      <c r="R123" s="35" t="str">
        <f>IF(ISNA(Tableau6[[#This Row],[Position 2024]]),"",INDEX(tabSuiviConso[HP + HC
cumul],Tableau6[[#This Row],[Position 2024]],1))</f>
        <v/>
      </c>
      <c r="S123" s="56" t="e">
        <f>IF(ISNA(Tableau6[[#This Row],[Position 2024]]),Tableau6[[#This Row],[Position 2024]],Tableau6[[#This Row],[2024]]-R$2)</f>
        <v>#N/A</v>
      </c>
      <c r="T123" s="35" t="e">
        <f>Tableau6[[#This Row],[Cumul 2024]]-Tableau6[[#This Row],[Cumul 2023]]</f>
        <v>#N/A</v>
      </c>
      <c r="U123" s="36" t="e">
        <f>Tableau6[[#This Row],[Ecart 2023 2024]]/Tableau6[[#This Row],[Cumul 2023]]</f>
        <v>#N/A</v>
      </c>
    </row>
    <row r="124" spans="1:21" x14ac:dyDescent="0.2">
      <c r="A124" s="35">
        <v>5</v>
      </c>
      <c r="B124" s="35">
        <v>1</v>
      </c>
      <c r="C124" s="35" t="str">
        <f>Tableau6[Jour]&amp;"/"&amp;Tableau6[Mois]</f>
        <v>1/5</v>
      </c>
      <c r="D124" s="35" t="e">
        <f>MATCH(Tableau6[Jours Mois]&amp;"/"&amp;Tableau6[[#Headers],[2021]],tabSuiviConso[Jour Mois Année],0)</f>
        <v>#N/A</v>
      </c>
      <c r="E124" s="35" t="str">
        <f>IF(ISNA(Tableau6[[#This Row],[Position 2021]]),"",INDEX(tabSuiviConso[HP + HC
cumul],Tableau6[[#This Row],[Position 2021]],1))</f>
        <v/>
      </c>
      <c r="F124" s="56" t="e">
        <f>IF(ISNA(Tableau6[[#This Row],[Position 2021]]),Tableau6[[#This Row],[Position 2021]],Tableau6[[#This Row],[2021]]-E$2)</f>
        <v>#N/A</v>
      </c>
      <c r="G124" s="35" t="e">
        <f>MATCH(Tableau6[Jours Mois]&amp;"/"&amp;Tableau6[[#Headers],[2022]],tabSuiviConso[Jour Mois Année],0)</f>
        <v>#N/A</v>
      </c>
      <c r="H124" s="35" t="str">
        <f>IF(ISNA(Tableau6[[#This Row],[Position 2022]]),"",INDEX(tabSuiviConso[HP + HC
cumul],Tableau6[[#This Row],[Position 2022]],1))</f>
        <v/>
      </c>
      <c r="I124" s="56" t="e">
        <f>IF(ISNA(Tableau6[[#This Row],[Position 2022]]),Tableau6[[#This Row],[Position 2022]],Tableau6[[#This Row],[2022]]-H$2)</f>
        <v>#N/A</v>
      </c>
      <c r="J124" s="35" t="e">
        <f>MATCH(Tableau6[Jours Mois]&amp;"/"&amp;Tableau6[[#Headers],[2023]],tabSuiviConso[Jour Mois Année],0)</f>
        <v>#N/A</v>
      </c>
      <c r="K124" s="35" t="e">
        <f>Tableau6[[#This Row],[Cumul 2022]]-Tableau6[[#This Row],[Cumul 2021]]</f>
        <v>#N/A</v>
      </c>
      <c r="L124" s="37" t="e">
        <f>Tableau6[[#This Row],[Ecart 2021 2022]]/Tableau6[[#This Row],[Cumul 2021]]</f>
        <v>#N/A</v>
      </c>
      <c r="M124" s="35" t="str">
        <f>IF(ISNA(Tableau6[[#This Row],[Position 2023]]),"",INDEX(tabSuiviConso[HP + HC
cumul],Tableau6[[#This Row],[Position 2023]],1))</f>
        <v/>
      </c>
      <c r="N124" s="56" t="e">
        <f>IF(ISNA(Tableau6[[#This Row],[Position 2023]]),Tableau6[[#This Row],[Position 2023]],Tableau6[[#This Row],[2023]]-M$2)</f>
        <v>#N/A</v>
      </c>
      <c r="O124" s="35" t="e">
        <f>Tableau6[[#This Row],[Cumul 2023]]-Tableau6[[#This Row],[Cumul 2022]]</f>
        <v>#N/A</v>
      </c>
      <c r="P124" s="37" t="e">
        <f>Tableau6[[#This Row],[Ecart 2022 2023]]/Tableau6[[#This Row],[Cumul 2022]]</f>
        <v>#N/A</v>
      </c>
      <c r="Q124" s="35" t="e">
        <f>MATCH(Tableau6[Jours Mois]&amp;"/"&amp;Tableau6[[#Headers],[2024]],tabSuiviConso[Jour Mois Année],0)</f>
        <v>#N/A</v>
      </c>
      <c r="R124" s="35" t="str">
        <f>IF(ISNA(Tableau6[[#This Row],[Position 2024]]),"",INDEX(tabSuiviConso[HP + HC
cumul],Tableau6[[#This Row],[Position 2024]],1))</f>
        <v/>
      </c>
      <c r="S124" s="56" t="e">
        <f>IF(ISNA(Tableau6[[#This Row],[Position 2024]]),Tableau6[[#This Row],[Position 2024]],Tableau6[[#This Row],[2024]]-R$2)</f>
        <v>#N/A</v>
      </c>
      <c r="T124" s="35" t="e">
        <f>Tableau6[[#This Row],[Cumul 2024]]-Tableau6[[#This Row],[Cumul 2023]]</f>
        <v>#N/A</v>
      </c>
      <c r="U124" s="36" t="e">
        <f>Tableau6[[#This Row],[Ecart 2023 2024]]/Tableau6[[#This Row],[Cumul 2023]]</f>
        <v>#N/A</v>
      </c>
    </row>
    <row r="125" spans="1:21" x14ac:dyDescent="0.2">
      <c r="A125" s="35">
        <v>5</v>
      </c>
      <c r="B125" s="35">
        <v>2</v>
      </c>
      <c r="C125" s="35" t="str">
        <f>Tableau6[Jour]&amp;"/"&amp;Tableau6[Mois]</f>
        <v>2/5</v>
      </c>
      <c r="D125" s="35" t="e">
        <f>MATCH(Tableau6[Jours Mois]&amp;"/"&amp;Tableau6[[#Headers],[2021]],tabSuiviConso[Jour Mois Année],0)</f>
        <v>#N/A</v>
      </c>
      <c r="E125" s="35" t="str">
        <f>IF(ISNA(Tableau6[[#This Row],[Position 2021]]),"",INDEX(tabSuiviConso[HP + HC
cumul],Tableau6[[#This Row],[Position 2021]],1))</f>
        <v/>
      </c>
      <c r="F125" s="56" t="e">
        <f>IF(ISNA(Tableau6[[#This Row],[Position 2021]]),Tableau6[[#This Row],[Position 2021]],Tableau6[[#This Row],[2021]]-E$2)</f>
        <v>#N/A</v>
      </c>
      <c r="G125" s="35" t="e">
        <f>MATCH(Tableau6[Jours Mois]&amp;"/"&amp;Tableau6[[#Headers],[2022]],tabSuiviConso[Jour Mois Année],0)</f>
        <v>#N/A</v>
      </c>
      <c r="H125" s="35" t="str">
        <f>IF(ISNA(Tableau6[[#This Row],[Position 2022]]),"",INDEX(tabSuiviConso[HP + HC
cumul],Tableau6[[#This Row],[Position 2022]],1))</f>
        <v/>
      </c>
      <c r="I125" s="56" t="e">
        <f>IF(ISNA(Tableau6[[#This Row],[Position 2022]]),Tableau6[[#This Row],[Position 2022]],Tableau6[[#This Row],[2022]]-H$2)</f>
        <v>#N/A</v>
      </c>
      <c r="J125" s="35" t="e">
        <f>MATCH(Tableau6[Jours Mois]&amp;"/"&amp;Tableau6[[#Headers],[2023]],tabSuiviConso[Jour Mois Année],0)</f>
        <v>#N/A</v>
      </c>
      <c r="K125" s="35" t="e">
        <f>Tableau6[[#This Row],[Cumul 2022]]-Tableau6[[#This Row],[Cumul 2021]]</f>
        <v>#N/A</v>
      </c>
      <c r="L125" s="37" t="e">
        <f>Tableau6[[#This Row],[Ecart 2021 2022]]/Tableau6[[#This Row],[Cumul 2021]]</f>
        <v>#N/A</v>
      </c>
      <c r="M125" s="35" t="str">
        <f>IF(ISNA(Tableau6[[#This Row],[Position 2023]]),"",INDEX(tabSuiviConso[HP + HC
cumul],Tableau6[[#This Row],[Position 2023]],1))</f>
        <v/>
      </c>
      <c r="N125" s="56" t="e">
        <f>IF(ISNA(Tableau6[[#This Row],[Position 2023]]),Tableau6[[#This Row],[Position 2023]],Tableau6[[#This Row],[2023]]-M$2)</f>
        <v>#N/A</v>
      </c>
      <c r="O125" s="35" t="e">
        <f>Tableau6[[#This Row],[Cumul 2023]]-Tableau6[[#This Row],[Cumul 2022]]</f>
        <v>#N/A</v>
      </c>
      <c r="P125" s="37" t="e">
        <f>Tableau6[[#This Row],[Ecart 2022 2023]]/Tableau6[[#This Row],[Cumul 2022]]</f>
        <v>#N/A</v>
      </c>
      <c r="Q125" s="35" t="e">
        <f>MATCH(Tableau6[Jours Mois]&amp;"/"&amp;Tableau6[[#Headers],[2024]],tabSuiviConso[Jour Mois Année],0)</f>
        <v>#N/A</v>
      </c>
      <c r="R125" s="35" t="str">
        <f>IF(ISNA(Tableau6[[#This Row],[Position 2024]]),"",INDEX(tabSuiviConso[HP + HC
cumul],Tableau6[[#This Row],[Position 2024]],1))</f>
        <v/>
      </c>
      <c r="S125" s="56" t="e">
        <f>IF(ISNA(Tableau6[[#This Row],[Position 2024]]),Tableau6[[#This Row],[Position 2024]],Tableau6[[#This Row],[2024]]-R$2)</f>
        <v>#N/A</v>
      </c>
      <c r="T125" s="35" t="e">
        <f>Tableau6[[#This Row],[Cumul 2024]]-Tableau6[[#This Row],[Cumul 2023]]</f>
        <v>#N/A</v>
      </c>
      <c r="U125" s="36" t="e">
        <f>Tableau6[[#This Row],[Ecart 2023 2024]]/Tableau6[[#This Row],[Cumul 2023]]</f>
        <v>#N/A</v>
      </c>
    </row>
    <row r="126" spans="1:21" x14ac:dyDescent="0.2">
      <c r="A126" s="35">
        <v>5</v>
      </c>
      <c r="B126" s="35">
        <v>3</v>
      </c>
      <c r="C126" s="35" t="str">
        <f>Tableau6[Jour]&amp;"/"&amp;Tableau6[Mois]</f>
        <v>3/5</v>
      </c>
      <c r="D126" s="35" t="e">
        <f>MATCH(Tableau6[Jours Mois]&amp;"/"&amp;Tableau6[[#Headers],[2021]],tabSuiviConso[Jour Mois Année],0)</f>
        <v>#N/A</v>
      </c>
      <c r="E126" s="35" t="str">
        <f>IF(ISNA(Tableau6[[#This Row],[Position 2021]]),"",INDEX(tabSuiviConso[HP + HC
cumul],Tableau6[[#This Row],[Position 2021]],1))</f>
        <v/>
      </c>
      <c r="F126" s="56" t="e">
        <f>IF(ISNA(Tableau6[[#This Row],[Position 2021]]),Tableau6[[#This Row],[Position 2021]],Tableau6[[#This Row],[2021]]-E$2)</f>
        <v>#N/A</v>
      </c>
      <c r="G126" s="35" t="e">
        <f>MATCH(Tableau6[Jours Mois]&amp;"/"&amp;Tableau6[[#Headers],[2022]],tabSuiviConso[Jour Mois Année],0)</f>
        <v>#N/A</v>
      </c>
      <c r="H126" s="35" t="str">
        <f>IF(ISNA(Tableau6[[#This Row],[Position 2022]]),"",INDEX(tabSuiviConso[HP + HC
cumul],Tableau6[[#This Row],[Position 2022]],1))</f>
        <v/>
      </c>
      <c r="I126" s="56" t="e">
        <f>IF(ISNA(Tableau6[[#This Row],[Position 2022]]),Tableau6[[#This Row],[Position 2022]],Tableau6[[#This Row],[2022]]-H$2)</f>
        <v>#N/A</v>
      </c>
      <c r="J126" s="35" t="e">
        <f>MATCH(Tableau6[Jours Mois]&amp;"/"&amp;Tableau6[[#Headers],[2023]],tabSuiviConso[Jour Mois Année],0)</f>
        <v>#N/A</v>
      </c>
      <c r="K126" s="35" t="e">
        <f>Tableau6[[#This Row],[Cumul 2022]]-Tableau6[[#This Row],[Cumul 2021]]</f>
        <v>#N/A</v>
      </c>
      <c r="L126" s="37" t="e">
        <f>Tableau6[[#This Row],[Ecart 2021 2022]]/Tableau6[[#This Row],[Cumul 2021]]</f>
        <v>#N/A</v>
      </c>
      <c r="M126" s="35" t="str">
        <f>IF(ISNA(Tableau6[[#This Row],[Position 2023]]),"",INDEX(tabSuiviConso[HP + HC
cumul],Tableau6[[#This Row],[Position 2023]],1))</f>
        <v/>
      </c>
      <c r="N126" s="56" t="e">
        <f>IF(ISNA(Tableau6[[#This Row],[Position 2023]]),Tableau6[[#This Row],[Position 2023]],Tableau6[[#This Row],[2023]]-M$2)</f>
        <v>#N/A</v>
      </c>
      <c r="O126" s="35" t="e">
        <f>Tableau6[[#This Row],[Cumul 2023]]-Tableau6[[#This Row],[Cumul 2022]]</f>
        <v>#N/A</v>
      </c>
      <c r="P126" s="37" t="e">
        <f>Tableau6[[#This Row],[Ecart 2022 2023]]/Tableau6[[#This Row],[Cumul 2022]]</f>
        <v>#N/A</v>
      </c>
      <c r="Q126" s="35" t="e">
        <f>MATCH(Tableau6[Jours Mois]&amp;"/"&amp;Tableau6[[#Headers],[2024]],tabSuiviConso[Jour Mois Année],0)</f>
        <v>#N/A</v>
      </c>
      <c r="R126" s="35" t="str">
        <f>IF(ISNA(Tableau6[[#This Row],[Position 2024]]),"",INDEX(tabSuiviConso[HP + HC
cumul],Tableau6[[#This Row],[Position 2024]],1))</f>
        <v/>
      </c>
      <c r="S126" s="56" t="e">
        <f>IF(ISNA(Tableau6[[#This Row],[Position 2024]]),Tableau6[[#This Row],[Position 2024]],Tableau6[[#This Row],[2024]]-R$2)</f>
        <v>#N/A</v>
      </c>
      <c r="T126" s="35" t="e">
        <f>Tableau6[[#This Row],[Cumul 2024]]-Tableau6[[#This Row],[Cumul 2023]]</f>
        <v>#N/A</v>
      </c>
      <c r="U126" s="36" t="e">
        <f>Tableau6[[#This Row],[Ecart 2023 2024]]/Tableau6[[#This Row],[Cumul 2023]]</f>
        <v>#N/A</v>
      </c>
    </row>
    <row r="127" spans="1:21" x14ac:dyDescent="0.2">
      <c r="A127" s="35">
        <v>5</v>
      </c>
      <c r="B127" s="35">
        <v>4</v>
      </c>
      <c r="C127" s="35" t="str">
        <f>Tableau6[Jour]&amp;"/"&amp;Tableau6[Mois]</f>
        <v>4/5</v>
      </c>
      <c r="D127" s="35" t="e">
        <f>MATCH(Tableau6[Jours Mois]&amp;"/"&amp;Tableau6[[#Headers],[2021]],tabSuiviConso[Jour Mois Année],0)</f>
        <v>#N/A</v>
      </c>
      <c r="E127" s="35" t="str">
        <f>IF(ISNA(Tableau6[[#This Row],[Position 2021]]),"",INDEX(tabSuiviConso[HP + HC
cumul],Tableau6[[#This Row],[Position 2021]],1))</f>
        <v/>
      </c>
      <c r="F127" s="56" t="e">
        <f>IF(ISNA(Tableau6[[#This Row],[Position 2021]]),Tableau6[[#This Row],[Position 2021]],Tableau6[[#This Row],[2021]]-E$2)</f>
        <v>#N/A</v>
      </c>
      <c r="G127" s="35" t="e">
        <f>MATCH(Tableau6[Jours Mois]&amp;"/"&amp;Tableau6[[#Headers],[2022]],tabSuiviConso[Jour Mois Année],0)</f>
        <v>#N/A</v>
      </c>
      <c r="H127" s="35" t="str">
        <f>IF(ISNA(Tableau6[[#This Row],[Position 2022]]),"",INDEX(tabSuiviConso[HP + HC
cumul],Tableau6[[#This Row],[Position 2022]],1))</f>
        <v/>
      </c>
      <c r="I127" s="56" t="e">
        <f>IF(ISNA(Tableau6[[#This Row],[Position 2022]]),Tableau6[[#This Row],[Position 2022]],Tableau6[[#This Row],[2022]]-H$2)</f>
        <v>#N/A</v>
      </c>
      <c r="J127" s="35" t="e">
        <f>MATCH(Tableau6[Jours Mois]&amp;"/"&amp;Tableau6[[#Headers],[2023]],tabSuiviConso[Jour Mois Année],0)</f>
        <v>#N/A</v>
      </c>
      <c r="K127" s="35" t="e">
        <f>Tableau6[[#This Row],[Cumul 2022]]-Tableau6[[#This Row],[Cumul 2021]]</f>
        <v>#N/A</v>
      </c>
      <c r="L127" s="37" t="e">
        <f>Tableau6[[#This Row],[Ecart 2021 2022]]/Tableau6[[#This Row],[Cumul 2021]]</f>
        <v>#N/A</v>
      </c>
      <c r="M127" s="35" t="str">
        <f>IF(ISNA(Tableau6[[#This Row],[Position 2023]]),"",INDEX(tabSuiviConso[HP + HC
cumul],Tableau6[[#This Row],[Position 2023]],1))</f>
        <v/>
      </c>
      <c r="N127" s="56" t="e">
        <f>IF(ISNA(Tableau6[[#This Row],[Position 2023]]),Tableau6[[#This Row],[Position 2023]],Tableau6[[#This Row],[2023]]-M$2)</f>
        <v>#N/A</v>
      </c>
      <c r="O127" s="35" t="e">
        <f>Tableau6[[#This Row],[Cumul 2023]]-Tableau6[[#This Row],[Cumul 2022]]</f>
        <v>#N/A</v>
      </c>
      <c r="P127" s="37" t="e">
        <f>Tableau6[[#This Row],[Ecart 2022 2023]]/Tableau6[[#This Row],[Cumul 2022]]</f>
        <v>#N/A</v>
      </c>
      <c r="Q127" s="35" t="e">
        <f>MATCH(Tableau6[Jours Mois]&amp;"/"&amp;Tableau6[[#Headers],[2024]],tabSuiviConso[Jour Mois Année],0)</f>
        <v>#N/A</v>
      </c>
      <c r="R127" s="35" t="str">
        <f>IF(ISNA(Tableau6[[#This Row],[Position 2024]]),"",INDEX(tabSuiviConso[HP + HC
cumul],Tableau6[[#This Row],[Position 2024]],1))</f>
        <v/>
      </c>
      <c r="S127" s="56" t="e">
        <f>IF(ISNA(Tableau6[[#This Row],[Position 2024]]),Tableau6[[#This Row],[Position 2024]],Tableau6[[#This Row],[2024]]-R$2)</f>
        <v>#N/A</v>
      </c>
      <c r="T127" s="35" t="e">
        <f>Tableau6[[#This Row],[Cumul 2024]]-Tableau6[[#This Row],[Cumul 2023]]</f>
        <v>#N/A</v>
      </c>
      <c r="U127" s="36" t="e">
        <f>Tableau6[[#This Row],[Ecart 2023 2024]]/Tableau6[[#This Row],[Cumul 2023]]</f>
        <v>#N/A</v>
      </c>
    </row>
    <row r="128" spans="1:21" x14ac:dyDescent="0.2">
      <c r="A128" s="35">
        <v>5</v>
      </c>
      <c r="B128" s="35">
        <v>5</v>
      </c>
      <c r="C128" s="35" t="str">
        <f>Tableau6[Jour]&amp;"/"&amp;Tableau6[Mois]</f>
        <v>5/5</v>
      </c>
      <c r="D128" s="35" t="e">
        <f>MATCH(Tableau6[Jours Mois]&amp;"/"&amp;Tableau6[[#Headers],[2021]],tabSuiviConso[Jour Mois Année],0)</f>
        <v>#N/A</v>
      </c>
      <c r="E128" s="35" t="str">
        <f>IF(ISNA(Tableau6[[#This Row],[Position 2021]]),"",INDEX(tabSuiviConso[HP + HC
cumul],Tableau6[[#This Row],[Position 2021]],1))</f>
        <v/>
      </c>
      <c r="F128" s="56" t="e">
        <f>IF(ISNA(Tableau6[[#This Row],[Position 2021]]),Tableau6[[#This Row],[Position 2021]],Tableau6[[#This Row],[2021]]-E$2)</f>
        <v>#N/A</v>
      </c>
      <c r="G128" s="35" t="e">
        <f>MATCH(Tableau6[Jours Mois]&amp;"/"&amp;Tableau6[[#Headers],[2022]],tabSuiviConso[Jour Mois Année],0)</f>
        <v>#N/A</v>
      </c>
      <c r="H128" s="35" t="str">
        <f>IF(ISNA(Tableau6[[#This Row],[Position 2022]]),"",INDEX(tabSuiviConso[HP + HC
cumul],Tableau6[[#This Row],[Position 2022]],1))</f>
        <v/>
      </c>
      <c r="I128" s="56" t="e">
        <f>IF(ISNA(Tableau6[[#This Row],[Position 2022]]),Tableau6[[#This Row],[Position 2022]],Tableau6[[#This Row],[2022]]-H$2)</f>
        <v>#N/A</v>
      </c>
      <c r="J128" s="35" t="e">
        <f>MATCH(Tableau6[Jours Mois]&amp;"/"&amp;Tableau6[[#Headers],[2023]],tabSuiviConso[Jour Mois Année],0)</f>
        <v>#N/A</v>
      </c>
      <c r="K128" s="35" t="e">
        <f>Tableau6[[#This Row],[Cumul 2022]]-Tableau6[[#This Row],[Cumul 2021]]</f>
        <v>#N/A</v>
      </c>
      <c r="L128" s="37" t="e">
        <f>Tableau6[[#This Row],[Ecart 2021 2022]]/Tableau6[[#This Row],[Cumul 2021]]</f>
        <v>#N/A</v>
      </c>
      <c r="M128" s="35" t="str">
        <f>IF(ISNA(Tableau6[[#This Row],[Position 2023]]),"",INDEX(tabSuiviConso[HP + HC
cumul],Tableau6[[#This Row],[Position 2023]],1))</f>
        <v/>
      </c>
      <c r="N128" s="56" t="e">
        <f>IF(ISNA(Tableau6[[#This Row],[Position 2023]]),Tableau6[[#This Row],[Position 2023]],Tableau6[[#This Row],[2023]]-M$2)</f>
        <v>#N/A</v>
      </c>
      <c r="O128" s="35" t="e">
        <f>Tableau6[[#This Row],[Cumul 2023]]-Tableau6[[#This Row],[Cumul 2022]]</f>
        <v>#N/A</v>
      </c>
      <c r="P128" s="37" t="e">
        <f>Tableau6[[#This Row],[Ecart 2022 2023]]/Tableau6[[#This Row],[Cumul 2022]]</f>
        <v>#N/A</v>
      </c>
      <c r="Q128" s="35" t="e">
        <f>MATCH(Tableau6[Jours Mois]&amp;"/"&amp;Tableau6[[#Headers],[2024]],tabSuiviConso[Jour Mois Année],0)</f>
        <v>#N/A</v>
      </c>
      <c r="R128" s="35" t="str">
        <f>IF(ISNA(Tableau6[[#This Row],[Position 2024]]),"",INDEX(tabSuiviConso[HP + HC
cumul],Tableau6[[#This Row],[Position 2024]],1))</f>
        <v/>
      </c>
      <c r="S128" s="56" t="e">
        <f>IF(ISNA(Tableau6[[#This Row],[Position 2024]]),Tableau6[[#This Row],[Position 2024]],Tableau6[[#This Row],[2024]]-R$2)</f>
        <v>#N/A</v>
      </c>
      <c r="T128" s="35" t="e">
        <f>Tableau6[[#This Row],[Cumul 2024]]-Tableau6[[#This Row],[Cumul 2023]]</f>
        <v>#N/A</v>
      </c>
      <c r="U128" s="36" t="e">
        <f>Tableau6[[#This Row],[Ecart 2023 2024]]/Tableau6[[#This Row],[Cumul 2023]]</f>
        <v>#N/A</v>
      </c>
    </row>
    <row r="129" spans="1:21" x14ac:dyDescent="0.2">
      <c r="A129" s="35">
        <v>5</v>
      </c>
      <c r="B129" s="35">
        <v>6</v>
      </c>
      <c r="C129" s="35" t="str">
        <f>Tableau6[Jour]&amp;"/"&amp;Tableau6[Mois]</f>
        <v>6/5</v>
      </c>
      <c r="D129" s="35" t="e">
        <f>MATCH(Tableau6[Jours Mois]&amp;"/"&amp;Tableau6[[#Headers],[2021]],tabSuiviConso[Jour Mois Année],0)</f>
        <v>#N/A</v>
      </c>
      <c r="E129" s="35" t="str">
        <f>IF(ISNA(Tableau6[[#This Row],[Position 2021]]),"",INDEX(tabSuiviConso[HP + HC
cumul],Tableau6[[#This Row],[Position 2021]],1))</f>
        <v/>
      </c>
      <c r="F129" s="56" t="e">
        <f>IF(ISNA(Tableau6[[#This Row],[Position 2021]]),Tableau6[[#This Row],[Position 2021]],Tableau6[[#This Row],[2021]]-E$2)</f>
        <v>#N/A</v>
      </c>
      <c r="G129" s="35" t="e">
        <f>MATCH(Tableau6[Jours Mois]&amp;"/"&amp;Tableau6[[#Headers],[2022]],tabSuiviConso[Jour Mois Année],0)</f>
        <v>#N/A</v>
      </c>
      <c r="H129" s="35" t="str">
        <f>IF(ISNA(Tableau6[[#This Row],[Position 2022]]),"",INDEX(tabSuiviConso[HP + HC
cumul],Tableau6[[#This Row],[Position 2022]],1))</f>
        <v/>
      </c>
      <c r="I129" s="56" t="e">
        <f>IF(ISNA(Tableau6[[#This Row],[Position 2022]]),Tableau6[[#This Row],[Position 2022]],Tableau6[[#This Row],[2022]]-H$2)</f>
        <v>#N/A</v>
      </c>
      <c r="J129" s="35" t="e">
        <f>MATCH(Tableau6[Jours Mois]&amp;"/"&amp;Tableau6[[#Headers],[2023]],tabSuiviConso[Jour Mois Année],0)</f>
        <v>#N/A</v>
      </c>
      <c r="K129" s="35" t="e">
        <f>Tableau6[[#This Row],[Cumul 2022]]-Tableau6[[#This Row],[Cumul 2021]]</f>
        <v>#N/A</v>
      </c>
      <c r="L129" s="37" t="e">
        <f>Tableau6[[#This Row],[Ecart 2021 2022]]/Tableau6[[#This Row],[Cumul 2021]]</f>
        <v>#N/A</v>
      </c>
      <c r="M129" s="35" t="str">
        <f>IF(ISNA(Tableau6[[#This Row],[Position 2023]]),"",INDEX(tabSuiviConso[HP + HC
cumul],Tableau6[[#This Row],[Position 2023]],1))</f>
        <v/>
      </c>
      <c r="N129" s="56" t="e">
        <f>IF(ISNA(Tableau6[[#This Row],[Position 2023]]),Tableau6[[#This Row],[Position 2023]],Tableau6[[#This Row],[2023]]-M$2)</f>
        <v>#N/A</v>
      </c>
      <c r="O129" s="35" t="e">
        <f>Tableau6[[#This Row],[Cumul 2023]]-Tableau6[[#This Row],[Cumul 2022]]</f>
        <v>#N/A</v>
      </c>
      <c r="P129" s="37" t="e">
        <f>Tableau6[[#This Row],[Ecart 2022 2023]]/Tableau6[[#This Row],[Cumul 2022]]</f>
        <v>#N/A</v>
      </c>
      <c r="Q129" s="35" t="e">
        <f>MATCH(Tableau6[Jours Mois]&amp;"/"&amp;Tableau6[[#Headers],[2024]],tabSuiviConso[Jour Mois Année],0)</f>
        <v>#N/A</v>
      </c>
      <c r="R129" s="35" t="str">
        <f>IF(ISNA(Tableau6[[#This Row],[Position 2024]]),"",INDEX(tabSuiviConso[HP + HC
cumul],Tableau6[[#This Row],[Position 2024]],1))</f>
        <v/>
      </c>
      <c r="S129" s="56" t="e">
        <f>IF(ISNA(Tableau6[[#This Row],[Position 2024]]),Tableau6[[#This Row],[Position 2024]],Tableau6[[#This Row],[2024]]-R$2)</f>
        <v>#N/A</v>
      </c>
      <c r="T129" s="35" t="e">
        <f>Tableau6[[#This Row],[Cumul 2024]]-Tableau6[[#This Row],[Cumul 2023]]</f>
        <v>#N/A</v>
      </c>
      <c r="U129" s="36" t="e">
        <f>Tableau6[[#This Row],[Ecart 2023 2024]]/Tableau6[[#This Row],[Cumul 2023]]</f>
        <v>#N/A</v>
      </c>
    </row>
    <row r="130" spans="1:21" x14ac:dyDescent="0.2">
      <c r="A130" s="35">
        <v>5</v>
      </c>
      <c r="B130" s="35">
        <v>7</v>
      </c>
      <c r="C130" s="35" t="str">
        <f>Tableau6[Jour]&amp;"/"&amp;Tableau6[Mois]</f>
        <v>7/5</v>
      </c>
      <c r="D130" s="35" t="e">
        <f>MATCH(Tableau6[Jours Mois]&amp;"/"&amp;Tableau6[[#Headers],[2021]],tabSuiviConso[Jour Mois Année],0)</f>
        <v>#N/A</v>
      </c>
      <c r="E130" s="35" t="str">
        <f>IF(ISNA(Tableau6[[#This Row],[Position 2021]]),"",INDEX(tabSuiviConso[HP + HC
cumul],Tableau6[[#This Row],[Position 2021]],1))</f>
        <v/>
      </c>
      <c r="F130" s="56" t="e">
        <f>IF(ISNA(Tableau6[[#This Row],[Position 2021]]),Tableau6[[#This Row],[Position 2021]],Tableau6[[#This Row],[2021]]-E$2)</f>
        <v>#N/A</v>
      </c>
      <c r="G130" s="35" t="e">
        <f>MATCH(Tableau6[Jours Mois]&amp;"/"&amp;Tableau6[[#Headers],[2022]],tabSuiviConso[Jour Mois Année],0)</f>
        <v>#N/A</v>
      </c>
      <c r="H130" s="35" t="str">
        <f>IF(ISNA(Tableau6[[#This Row],[Position 2022]]),"",INDEX(tabSuiviConso[HP + HC
cumul],Tableau6[[#This Row],[Position 2022]],1))</f>
        <v/>
      </c>
      <c r="I130" s="56" t="e">
        <f>IF(ISNA(Tableau6[[#This Row],[Position 2022]]),Tableau6[[#This Row],[Position 2022]],Tableau6[[#This Row],[2022]]-H$2)</f>
        <v>#N/A</v>
      </c>
      <c r="J130" s="35" t="e">
        <f>MATCH(Tableau6[Jours Mois]&amp;"/"&amp;Tableau6[[#Headers],[2023]],tabSuiviConso[Jour Mois Année],0)</f>
        <v>#N/A</v>
      </c>
      <c r="K130" s="35" t="e">
        <f>Tableau6[[#This Row],[Cumul 2022]]-Tableau6[[#This Row],[Cumul 2021]]</f>
        <v>#N/A</v>
      </c>
      <c r="L130" s="37" t="e">
        <f>Tableau6[[#This Row],[Ecart 2021 2022]]/Tableau6[[#This Row],[Cumul 2021]]</f>
        <v>#N/A</v>
      </c>
      <c r="M130" s="35" t="str">
        <f>IF(ISNA(Tableau6[[#This Row],[Position 2023]]),"",INDEX(tabSuiviConso[HP + HC
cumul],Tableau6[[#This Row],[Position 2023]],1))</f>
        <v/>
      </c>
      <c r="N130" s="56" t="e">
        <f>IF(ISNA(Tableau6[[#This Row],[Position 2023]]),Tableau6[[#This Row],[Position 2023]],Tableau6[[#This Row],[2023]]-M$2)</f>
        <v>#N/A</v>
      </c>
      <c r="O130" s="35" t="e">
        <f>Tableau6[[#This Row],[Cumul 2023]]-Tableau6[[#This Row],[Cumul 2022]]</f>
        <v>#N/A</v>
      </c>
      <c r="P130" s="37" t="e">
        <f>Tableau6[[#This Row],[Ecart 2022 2023]]/Tableau6[[#This Row],[Cumul 2022]]</f>
        <v>#N/A</v>
      </c>
      <c r="Q130" s="35" t="e">
        <f>MATCH(Tableau6[Jours Mois]&amp;"/"&amp;Tableau6[[#Headers],[2024]],tabSuiviConso[Jour Mois Année],0)</f>
        <v>#N/A</v>
      </c>
      <c r="R130" s="35" t="str">
        <f>IF(ISNA(Tableau6[[#This Row],[Position 2024]]),"",INDEX(tabSuiviConso[HP + HC
cumul],Tableau6[[#This Row],[Position 2024]],1))</f>
        <v/>
      </c>
      <c r="S130" s="56" t="e">
        <f>IF(ISNA(Tableau6[[#This Row],[Position 2024]]),Tableau6[[#This Row],[Position 2024]],Tableau6[[#This Row],[2024]]-R$2)</f>
        <v>#N/A</v>
      </c>
      <c r="T130" s="35" t="e">
        <f>Tableau6[[#This Row],[Cumul 2024]]-Tableau6[[#This Row],[Cumul 2023]]</f>
        <v>#N/A</v>
      </c>
      <c r="U130" s="36" t="e">
        <f>Tableau6[[#This Row],[Ecart 2023 2024]]/Tableau6[[#This Row],[Cumul 2023]]</f>
        <v>#N/A</v>
      </c>
    </row>
    <row r="131" spans="1:21" x14ac:dyDescent="0.2">
      <c r="A131" s="35">
        <v>5</v>
      </c>
      <c r="B131" s="35">
        <v>8</v>
      </c>
      <c r="C131" s="35" t="str">
        <f>Tableau6[Jour]&amp;"/"&amp;Tableau6[Mois]</f>
        <v>8/5</v>
      </c>
      <c r="D131" s="35" t="e">
        <f>MATCH(Tableau6[Jours Mois]&amp;"/"&amp;Tableau6[[#Headers],[2021]],tabSuiviConso[Jour Mois Année],0)</f>
        <v>#N/A</v>
      </c>
      <c r="E131" s="35" t="str">
        <f>IF(ISNA(Tableau6[[#This Row],[Position 2021]]),"",INDEX(tabSuiviConso[HP + HC
cumul],Tableau6[[#This Row],[Position 2021]],1))</f>
        <v/>
      </c>
      <c r="F131" s="56" t="e">
        <f>IF(ISNA(Tableau6[[#This Row],[Position 2021]]),Tableau6[[#This Row],[Position 2021]],Tableau6[[#This Row],[2021]]-E$2)</f>
        <v>#N/A</v>
      </c>
      <c r="G131" s="35" t="e">
        <f>MATCH(Tableau6[Jours Mois]&amp;"/"&amp;Tableau6[[#Headers],[2022]],tabSuiviConso[Jour Mois Année],0)</f>
        <v>#N/A</v>
      </c>
      <c r="H131" s="35" t="str">
        <f>IF(ISNA(Tableau6[[#This Row],[Position 2022]]),"",INDEX(tabSuiviConso[HP + HC
cumul],Tableau6[[#This Row],[Position 2022]],1))</f>
        <v/>
      </c>
      <c r="I131" s="56" t="e">
        <f>IF(ISNA(Tableau6[[#This Row],[Position 2022]]),Tableau6[[#This Row],[Position 2022]],Tableau6[[#This Row],[2022]]-H$2)</f>
        <v>#N/A</v>
      </c>
      <c r="J131" s="35" t="e">
        <f>MATCH(Tableau6[Jours Mois]&amp;"/"&amp;Tableau6[[#Headers],[2023]],tabSuiviConso[Jour Mois Année],0)</f>
        <v>#N/A</v>
      </c>
      <c r="K131" s="35" t="e">
        <f>Tableau6[[#This Row],[Cumul 2022]]-Tableau6[[#This Row],[Cumul 2021]]</f>
        <v>#N/A</v>
      </c>
      <c r="L131" s="37" t="e">
        <f>Tableau6[[#This Row],[Ecart 2021 2022]]/Tableau6[[#This Row],[Cumul 2021]]</f>
        <v>#N/A</v>
      </c>
      <c r="M131" s="35" t="str">
        <f>IF(ISNA(Tableau6[[#This Row],[Position 2023]]),"",INDEX(tabSuiviConso[HP + HC
cumul],Tableau6[[#This Row],[Position 2023]],1))</f>
        <v/>
      </c>
      <c r="N131" s="56" t="e">
        <f>IF(ISNA(Tableau6[[#This Row],[Position 2023]]),Tableau6[[#This Row],[Position 2023]],Tableau6[[#This Row],[2023]]-M$2)</f>
        <v>#N/A</v>
      </c>
      <c r="O131" s="35" t="e">
        <f>Tableau6[[#This Row],[Cumul 2023]]-Tableau6[[#This Row],[Cumul 2022]]</f>
        <v>#N/A</v>
      </c>
      <c r="P131" s="37" t="e">
        <f>Tableau6[[#This Row],[Ecart 2022 2023]]/Tableau6[[#This Row],[Cumul 2022]]</f>
        <v>#N/A</v>
      </c>
      <c r="Q131" s="35" t="e">
        <f>MATCH(Tableau6[Jours Mois]&amp;"/"&amp;Tableau6[[#Headers],[2024]],tabSuiviConso[Jour Mois Année],0)</f>
        <v>#N/A</v>
      </c>
      <c r="R131" s="35" t="str">
        <f>IF(ISNA(Tableau6[[#This Row],[Position 2024]]),"",INDEX(tabSuiviConso[HP + HC
cumul],Tableau6[[#This Row],[Position 2024]],1))</f>
        <v/>
      </c>
      <c r="S131" s="56" t="e">
        <f>IF(ISNA(Tableau6[[#This Row],[Position 2024]]),Tableau6[[#This Row],[Position 2024]],Tableau6[[#This Row],[2024]]-R$2)</f>
        <v>#N/A</v>
      </c>
      <c r="T131" s="35" t="e">
        <f>Tableau6[[#This Row],[Cumul 2024]]-Tableau6[[#This Row],[Cumul 2023]]</f>
        <v>#N/A</v>
      </c>
      <c r="U131" s="36" t="e">
        <f>Tableau6[[#This Row],[Ecart 2023 2024]]/Tableau6[[#This Row],[Cumul 2023]]</f>
        <v>#N/A</v>
      </c>
    </row>
    <row r="132" spans="1:21" x14ac:dyDescent="0.2">
      <c r="A132" s="35">
        <v>5</v>
      </c>
      <c r="B132" s="35">
        <v>9</v>
      </c>
      <c r="C132" s="35" t="str">
        <f>Tableau6[Jour]&amp;"/"&amp;Tableau6[Mois]</f>
        <v>9/5</v>
      </c>
      <c r="D132" s="35" t="e">
        <f>MATCH(Tableau6[Jours Mois]&amp;"/"&amp;Tableau6[[#Headers],[2021]],tabSuiviConso[Jour Mois Année],0)</f>
        <v>#N/A</v>
      </c>
      <c r="E132" s="35" t="str">
        <f>IF(ISNA(Tableau6[[#This Row],[Position 2021]]),"",INDEX(tabSuiviConso[HP + HC
cumul],Tableau6[[#This Row],[Position 2021]],1))</f>
        <v/>
      </c>
      <c r="F132" s="56" t="e">
        <f>IF(ISNA(Tableau6[[#This Row],[Position 2021]]),Tableau6[[#This Row],[Position 2021]],Tableau6[[#This Row],[2021]]-E$2)</f>
        <v>#N/A</v>
      </c>
      <c r="G132" s="35" t="e">
        <f>MATCH(Tableau6[Jours Mois]&amp;"/"&amp;Tableau6[[#Headers],[2022]],tabSuiviConso[Jour Mois Année],0)</f>
        <v>#N/A</v>
      </c>
      <c r="H132" s="35" t="str">
        <f>IF(ISNA(Tableau6[[#This Row],[Position 2022]]),"",INDEX(tabSuiviConso[HP + HC
cumul],Tableau6[[#This Row],[Position 2022]],1))</f>
        <v/>
      </c>
      <c r="I132" s="56" t="e">
        <f>IF(ISNA(Tableau6[[#This Row],[Position 2022]]),Tableau6[[#This Row],[Position 2022]],Tableau6[[#This Row],[2022]]-H$2)</f>
        <v>#N/A</v>
      </c>
      <c r="J132" s="35" t="e">
        <f>MATCH(Tableau6[Jours Mois]&amp;"/"&amp;Tableau6[[#Headers],[2023]],tabSuiviConso[Jour Mois Année],0)</f>
        <v>#N/A</v>
      </c>
      <c r="K132" s="35" t="e">
        <f>Tableau6[[#This Row],[Cumul 2022]]-Tableau6[[#This Row],[Cumul 2021]]</f>
        <v>#N/A</v>
      </c>
      <c r="L132" s="37" t="e">
        <f>Tableau6[[#This Row],[Ecart 2021 2022]]/Tableau6[[#This Row],[Cumul 2021]]</f>
        <v>#N/A</v>
      </c>
      <c r="M132" s="35" t="str">
        <f>IF(ISNA(Tableau6[[#This Row],[Position 2023]]),"",INDEX(tabSuiviConso[HP + HC
cumul],Tableau6[[#This Row],[Position 2023]],1))</f>
        <v/>
      </c>
      <c r="N132" s="56" t="e">
        <f>IF(ISNA(Tableau6[[#This Row],[Position 2023]]),Tableau6[[#This Row],[Position 2023]],Tableau6[[#This Row],[2023]]-M$2)</f>
        <v>#N/A</v>
      </c>
      <c r="O132" s="35" t="e">
        <f>Tableau6[[#This Row],[Cumul 2023]]-Tableau6[[#This Row],[Cumul 2022]]</f>
        <v>#N/A</v>
      </c>
      <c r="P132" s="37" t="e">
        <f>Tableau6[[#This Row],[Ecart 2022 2023]]/Tableau6[[#This Row],[Cumul 2022]]</f>
        <v>#N/A</v>
      </c>
      <c r="Q132" s="35" t="e">
        <f>MATCH(Tableau6[Jours Mois]&amp;"/"&amp;Tableau6[[#Headers],[2024]],tabSuiviConso[Jour Mois Année],0)</f>
        <v>#N/A</v>
      </c>
      <c r="R132" s="35" t="str">
        <f>IF(ISNA(Tableau6[[#This Row],[Position 2024]]),"",INDEX(tabSuiviConso[HP + HC
cumul],Tableau6[[#This Row],[Position 2024]],1))</f>
        <v/>
      </c>
      <c r="S132" s="56" t="e">
        <f>IF(ISNA(Tableau6[[#This Row],[Position 2024]]),Tableau6[[#This Row],[Position 2024]],Tableau6[[#This Row],[2024]]-R$2)</f>
        <v>#N/A</v>
      </c>
      <c r="T132" s="35" t="e">
        <f>Tableau6[[#This Row],[Cumul 2024]]-Tableau6[[#This Row],[Cumul 2023]]</f>
        <v>#N/A</v>
      </c>
      <c r="U132" s="36" t="e">
        <f>Tableau6[[#This Row],[Ecart 2023 2024]]/Tableau6[[#This Row],[Cumul 2023]]</f>
        <v>#N/A</v>
      </c>
    </row>
    <row r="133" spans="1:21" x14ac:dyDescent="0.2">
      <c r="A133" s="35">
        <v>5</v>
      </c>
      <c r="B133" s="35">
        <v>10</v>
      </c>
      <c r="C133" s="35" t="str">
        <f>Tableau6[Jour]&amp;"/"&amp;Tableau6[Mois]</f>
        <v>10/5</v>
      </c>
      <c r="D133" s="35" t="e">
        <f>MATCH(Tableau6[Jours Mois]&amp;"/"&amp;Tableau6[[#Headers],[2021]],tabSuiviConso[Jour Mois Année],0)</f>
        <v>#N/A</v>
      </c>
      <c r="E133" s="35" t="str">
        <f>IF(ISNA(Tableau6[[#This Row],[Position 2021]]),"",INDEX(tabSuiviConso[HP + HC
cumul],Tableau6[[#This Row],[Position 2021]],1))</f>
        <v/>
      </c>
      <c r="F133" s="56" t="e">
        <f>IF(ISNA(Tableau6[[#This Row],[Position 2021]]),Tableau6[[#This Row],[Position 2021]],Tableau6[[#This Row],[2021]]-E$2)</f>
        <v>#N/A</v>
      </c>
      <c r="G133" s="35" t="e">
        <f>MATCH(Tableau6[Jours Mois]&amp;"/"&amp;Tableau6[[#Headers],[2022]],tabSuiviConso[Jour Mois Année],0)</f>
        <v>#N/A</v>
      </c>
      <c r="H133" s="35" t="str">
        <f>IF(ISNA(Tableau6[[#This Row],[Position 2022]]),"",INDEX(tabSuiviConso[HP + HC
cumul],Tableau6[[#This Row],[Position 2022]],1))</f>
        <v/>
      </c>
      <c r="I133" s="56" t="e">
        <f>IF(ISNA(Tableau6[[#This Row],[Position 2022]]),Tableau6[[#This Row],[Position 2022]],Tableau6[[#This Row],[2022]]-H$2)</f>
        <v>#N/A</v>
      </c>
      <c r="J133" s="35" t="e">
        <f>MATCH(Tableau6[Jours Mois]&amp;"/"&amp;Tableau6[[#Headers],[2023]],tabSuiviConso[Jour Mois Année],0)</f>
        <v>#N/A</v>
      </c>
      <c r="K133" s="35" t="e">
        <f>Tableau6[[#This Row],[Cumul 2022]]-Tableau6[[#This Row],[Cumul 2021]]</f>
        <v>#N/A</v>
      </c>
      <c r="L133" s="37" t="e">
        <f>Tableau6[[#This Row],[Ecart 2021 2022]]/Tableau6[[#This Row],[Cumul 2021]]</f>
        <v>#N/A</v>
      </c>
      <c r="M133" s="35" t="str">
        <f>IF(ISNA(Tableau6[[#This Row],[Position 2023]]),"",INDEX(tabSuiviConso[HP + HC
cumul],Tableau6[[#This Row],[Position 2023]],1))</f>
        <v/>
      </c>
      <c r="N133" s="56" t="e">
        <f>IF(ISNA(Tableau6[[#This Row],[Position 2023]]),Tableau6[[#This Row],[Position 2023]],Tableau6[[#This Row],[2023]]-M$2)</f>
        <v>#N/A</v>
      </c>
      <c r="O133" s="35" t="e">
        <f>Tableau6[[#This Row],[Cumul 2023]]-Tableau6[[#This Row],[Cumul 2022]]</f>
        <v>#N/A</v>
      </c>
      <c r="P133" s="37" t="e">
        <f>Tableau6[[#This Row],[Ecart 2022 2023]]/Tableau6[[#This Row],[Cumul 2022]]</f>
        <v>#N/A</v>
      </c>
      <c r="Q133" s="35" t="e">
        <f>MATCH(Tableau6[Jours Mois]&amp;"/"&amp;Tableau6[[#Headers],[2024]],tabSuiviConso[Jour Mois Année],0)</f>
        <v>#N/A</v>
      </c>
      <c r="R133" s="35" t="str">
        <f>IF(ISNA(Tableau6[[#This Row],[Position 2024]]),"",INDEX(tabSuiviConso[HP + HC
cumul],Tableau6[[#This Row],[Position 2024]],1))</f>
        <v/>
      </c>
      <c r="S133" s="56" t="e">
        <f>IF(ISNA(Tableau6[[#This Row],[Position 2024]]),Tableau6[[#This Row],[Position 2024]],Tableau6[[#This Row],[2024]]-R$2)</f>
        <v>#N/A</v>
      </c>
      <c r="T133" s="35" t="e">
        <f>Tableau6[[#This Row],[Cumul 2024]]-Tableau6[[#This Row],[Cumul 2023]]</f>
        <v>#N/A</v>
      </c>
      <c r="U133" s="36" t="e">
        <f>Tableau6[[#This Row],[Ecart 2023 2024]]/Tableau6[[#This Row],[Cumul 2023]]</f>
        <v>#N/A</v>
      </c>
    </row>
    <row r="134" spans="1:21" x14ac:dyDescent="0.2">
      <c r="A134" s="35">
        <v>5</v>
      </c>
      <c r="B134" s="35">
        <v>11</v>
      </c>
      <c r="C134" s="35" t="str">
        <f>Tableau6[Jour]&amp;"/"&amp;Tableau6[Mois]</f>
        <v>11/5</v>
      </c>
      <c r="D134" s="35" t="e">
        <f>MATCH(Tableau6[Jours Mois]&amp;"/"&amp;Tableau6[[#Headers],[2021]],tabSuiviConso[Jour Mois Année],0)</f>
        <v>#N/A</v>
      </c>
      <c r="E134" s="35" t="str">
        <f>IF(ISNA(Tableau6[[#This Row],[Position 2021]]),"",INDEX(tabSuiviConso[HP + HC
cumul],Tableau6[[#This Row],[Position 2021]],1))</f>
        <v/>
      </c>
      <c r="F134" s="56" t="e">
        <f>IF(ISNA(Tableau6[[#This Row],[Position 2021]]),Tableau6[[#This Row],[Position 2021]],Tableau6[[#This Row],[2021]]-E$2)</f>
        <v>#N/A</v>
      </c>
      <c r="G134" s="35" t="e">
        <f>MATCH(Tableau6[Jours Mois]&amp;"/"&amp;Tableau6[[#Headers],[2022]],tabSuiviConso[Jour Mois Année],0)</f>
        <v>#N/A</v>
      </c>
      <c r="H134" s="35" t="str">
        <f>IF(ISNA(Tableau6[[#This Row],[Position 2022]]),"",INDEX(tabSuiviConso[HP + HC
cumul],Tableau6[[#This Row],[Position 2022]],1))</f>
        <v/>
      </c>
      <c r="I134" s="56" t="e">
        <f>IF(ISNA(Tableau6[[#This Row],[Position 2022]]),Tableau6[[#This Row],[Position 2022]],Tableau6[[#This Row],[2022]]-H$2)</f>
        <v>#N/A</v>
      </c>
      <c r="J134" s="35" t="e">
        <f>MATCH(Tableau6[Jours Mois]&amp;"/"&amp;Tableau6[[#Headers],[2023]],tabSuiviConso[Jour Mois Année],0)</f>
        <v>#N/A</v>
      </c>
      <c r="K134" s="35" t="e">
        <f>Tableau6[[#This Row],[Cumul 2022]]-Tableau6[[#This Row],[Cumul 2021]]</f>
        <v>#N/A</v>
      </c>
      <c r="L134" s="37" t="e">
        <f>Tableau6[[#This Row],[Ecart 2021 2022]]/Tableau6[[#This Row],[Cumul 2021]]</f>
        <v>#N/A</v>
      </c>
      <c r="M134" s="35" t="str">
        <f>IF(ISNA(Tableau6[[#This Row],[Position 2023]]),"",INDEX(tabSuiviConso[HP + HC
cumul],Tableau6[[#This Row],[Position 2023]],1))</f>
        <v/>
      </c>
      <c r="N134" s="56" t="e">
        <f>IF(ISNA(Tableau6[[#This Row],[Position 2023]]),Tableau6[[#This Row],[Position 2023]],Tableau6[[#This Row],[2023]]-M$2)</f>
        <v>#N/A</v>
      </c>
      <c r="O134" s="35" t="e">
        <f>Tableau6[[#This Row],[Cumul 2023]]-Tableau6[[#This Row],[Cumul 2022]]</f>
        <v>#N/A</v>
      </c>
      <c r="P134" s="37" t="e">
        <f>Tableau6[[#This Row],[Ecart 2022 2023]]/Tableau6[[#This Row],[Cumul 2022]]</f>
        <v>#N/A</v>
      </c>
      <c r="Q134" s="35" t="e">
        <f>MATCH(Tableau6[Jours Mois]&amp;"/"&amp;Tableau6[[#Headers],[2024]],tabSuiviConso[Jour Mois Année],0)</f>
        <v>#N/A</v>
      </c>
      <c r="R134" s="35" t="str">
        <f>IF(ISNA(Tableau6[[#This Row],[Position 2024]]),"",INDEX(tabSuiviConso[HP + HC
cumul],Tableau6[[#This Row],[Position 2024]],1))</f>
        <v/>
      </c>
      <c r="S134" s="56" t="e">
        <f>IF(ISNA(Tableau6[[#This Row],[Position 2024]]),Tableau6[[#This Row],[Position 2024]],Tableau6[[#This Row],[2024]]-R$2)</f>
        <v>#N/A</v>
      </c>
      <c r="T134" s="35" t="e">
        <f>Tableau6[[#This Row],[Cumul 2024]]-Tableau6[[#This Row],[Cumul 2023]]</f>
        <v>#N/A</v>
      </c>
      <c r="U134" s="36" t="e">
        <f>Tableau6[[#This Row],[Ecart 2023 2024]]/Tableau6[[#This Row],[Cumul 2023]]</f>
        <v>#N/A</v>
      </c>
    </row>
    <row r="135" spans="1:21" x14ac:dyDescent="0.2">
      <c r="A135" s="35">
        <v>5</v>
      </c>
      <c r="B135" s="35">
        <v>12</v>
      </c>
      <c r="C135" s="35" t="str">
        <f>Tableau6[Jour]&amp;"/"&amp;Tableau6[Mois]</f>
        <v>12/5</v>
      </c>
      <c r="D135" s="35" t="e">
        <f>MATCH(Tableau6[Jours Mois]&amp;"/"&amp;Tableau6[[#Headers],[2021]],tabSuiviConso[Jour Mois Année],0)</f>
        <v>#N/A</v>
      </c>
      <c r="E135" s="35" t="str">
        <f>IF(ISNA(Tableau6[[#This Row],[Position 2021]]),"",INDEX(tabSuiviConso[HP + HC
cumul],Tableau6[[#This Row],[Position 2021]],1))</f>
        <v/>
      </c>
      <c r="F135" s="56" t="e">
        <f>IF(ISNA(Tableau6[[#This Row],[Position 2021]]),Tableau6[[#This Row],[Position 2021]],Tableau6[[#This Row],[2021]]-E$2)</f>
        <v>#N/A</v>
      </c>
      <c r="G135" s="35" t="e">
        <f>MATCH(Tableau6[Jours Mois]&amp;"/"&amp;Tableau6[[#Headers],[2022]],tabSuiviConso[Jour Mois Année],0)</f>
        <v>#N/A</v>
      </c>
      <c r="H135" s="35" t="str">
        <f>IF(ISNA(Tableau6[[#This Row],[Position 2022]]),"",INDEX(tabSuiviConso[HP + HC
cumul],Tableau6[[#This Row],[Position 2022]],1))</f>
        <v/>
      </c>
      <c r="I135" s="56" t="e">
        <f>IF(ISNA(Tableau6[[#This Row],[Position 2022]]),Tableau6[[#This Row],[Position 2022]],Tableau6[[#This Row],[2022]]-H$2)</f>
        <v>#N/A</v>
      </c>
      <c r="J135" s="35" t="e">
        <f>MATCH(Tableau6[Jours Mois]&amp;"/"&amp;Tableau6[[#Headers],[2023]],tabSuiviConso[Jour Mois Année],0)</f>
        <v>#N/A</v>
      </c>
      <c r="K135" s="35" t="e">
        <f>Tableau6[[#This Row],[Cumul 2022]]-Tableau6[[#This Row],[Cumul 2021]]</f>
        <v>#N/A</v>
      </c>
      <c r="L135" s="37" t="e">
        <f>Tableau6[[#This Row],[Ecart 2021 2022]]/Tableau6[[#This Row],[Cumul 2021]]</f>
        <v>#N/A</v>
      </c>
      <c r="M135" s="35" t="str">
        <f>IF(ISNA(Tableau6[[#This Row],[Position 2023]]),"",INDEX(tabSuiviConso[HP + HC
cumul],Tableau6[[#This Row],[Position 2023]],1))</f>
        <v/>
      </c>
      <c r="N135" s="56" t="e">
        <f>IF(ISNA(Tableau6[[#This Row],[Position 2023]]),Tableau6[[#This Row],[Position 2023]],Tableau6[[#This Row],[2023]]-M$2)</f>
        <v>#N/A</v>
      </c>
      <c r="O135" s="35" t="e">
        <f>Tableau6[[#This Row],[Cumul 2023]]-Tableau6[[#This Row],[Cumul 2022]]</f>
        <v>#N/A</v>
      </c>
      <c r="P135" s="37" t="e">
        <f>Tableau6[[#This Row],[Ecart 2022 2023]]/Tableau6[[#This Row],[Cumul 2022]]</f>
        <v>#N/A</v>
      </c>
      <c r="Q135" s="35" t="e">
        <f>MATCH(Tableau6[Jours Mois]&amp;"/"&amp;Tableau6[[#Headers],[2024]],tabSuiviConso[Jour Mois Année],0)</f>
        <v>#N/A</v>
      </c>
      <c r="R135" s="35" t="str">
        <f>IF(ISNA(Tableau6[[#This Row],[Position 2024]]),"",INDEX(tabSuiviConso[HP + HC
cumul],Tableau6[[#This Row],[Position 2024]],1))</f>
        <v/>
      </c>
      <c r="S135" s="56" t="e">
        <f>IF(ISNA(Tableau6[[#This Row],[Position 2024]]),Tableau6[[#This Row],[Position 2024]],Tableau6[[#This Row],[2024]]-R$2)</f>
        <v>#N/A</v>
      </c>
      <c r="T135" s="35" t="e">
        <f>Tableau6[[#This Row],[Cumul 2024]]-Tableau6[[#This Row],[Cumul 2023]]</f>
        <v>#N/A</v>
      </c>
      <c r="U135" s="36" t="e">
        <f>Tableau6[[#This Row],[Ecart 2023 2024]]/Tableau6[[#This Row],[Cumul 2023]]</f>
        <v>#N/A</v>
      </c>
    </row>
    <row r="136" spans="1:21" x14ac:dyDescent="0.2">
      <c r="A136" s="35">
        <v>5</v>
      </c>
      <c r="B136" s="35">
        <v>13</v>
      </c>
      <c r="C136" s="35" t="str">
        <f>Tableau6[Jour]&amp;"/"&amp;Tableau6[Mois]</f>
        <v>13/5</v>
      </c>
      <c r="D136" s="35" t="e">
        <f>MATCH(Tableau6[Jours Mois]&amp;"/"&amp;Tableau6[[#Headers],[2021]],tabSuiviConso[Jour Mois Année],0)</f>
        <v>#N/A</v>
      </c>
      <c r="E136" s="35" t="str">
        <f>IF(ISNA(Tableau6[[#This Row],[Position 2021]]),"",INDEX(tabSuiviConso[HP + HC
cumul],Tableau6[[#This Row],[Position 2021]],1))</f>
        <v/>
      </c>
      <c r="F136" s="56" t="e">
        <f>IF(ISNA(Tableau6[[#This Row],[Position 2021]]),Tableau6[[#This Row],[Position 2021]],Tableau6[[#This Row],[2021]]-E$2)</f>
        <v>#N/A</v>
      </c>
      <c r="G136" s="35" t="e">
        <f>MATCH(Tableau6[Jours Mois]&amp;"/"&amp;Tableau6[[#Headers],[2022]],tabSuiviConso[Jour Mois Année],0)</f>
        <v>#N/A</v>
      </c>
      <c r="H136" s="35" t="str">
        <f>IF(ISNA(Tableau6[[#This Row],[Position 2022]]),"",INDEX(tabSuiviConso[HP + HC
cumul],Tableau6[[#This Row],[Position 2022]],1))</f>
        <v/>
      </c>
      <c r="I136" s="56" t="e">
        <f>IF(ISNA(Tableau6[[#This Row],[Position 2022]]),Tableau6[[#This Row],[Position 2022]],Tableau6[[#This Row],[2022]]-H$2)</f>
        <v>#N/A</v>
      </c>
      <c r="J136" s="35" t="e">
        <f>MATCH(Tableau6[Jours Mois]&amp;"/"&amp;Tableau6[[#Headers],[2023]],tabSuiviConso[Jour Mois Année],0)</f>
        <v>#N/A</v>
      </c>
      <c r="K136" s="35" t="e">
        <f>Tableau6[[#This Row],[Cumul 2022]]-Tableau6[[#This Row],[Cumul 2021]]</f>
        <v>#N/A</v>
      </c>
      <c r="L136" s="37" t="e">
        <f>Tableau6[[#This Row],[Ecart 2021 2022]]/Tableau6[[#This Row],[Cumul 2021]]</f>
        <v>#N/A</v>
      </c>
      <c r="M136" s="35" t="str">
        <f>IF(ISNA(Tableau6[[#This Row],[Position 2023]]),"",INDEX(tabSuiviConso[HP + HC
cumul],Tableau6[[#This Row],[Position 2023]],1))</f>
        <v/>
      </c>
      <c r="N136" s="56" t="e">
        <f>IF(ISNA(Tableau6[[#This Row],[Position 2023]]),Tableau6[[#This Row],[Position 2023]],Tableau6[[#This Row],[2023]]-M$2)</f>
        <v>#N/A</v>
      </c>
      <c r="O136" s="35" t="e">
        <f>Tableau6[[#This Row],[Cumul 2023]]-Tableau6[[#This Row],[Cumul 2022]]</f>
        <v>#N/A</v>
      </c>
      <c r="P136" s="37" t="e">
        <f>Tableau6[[#This Row],[Ecart 2022 2023]]/Tableau6[[#This Row],[Cumul 2022]]</f>
        <v>#N/A</v>
      </c>
      <c r="Q136" s="35" t="e">
        <f>MATCH(Tableau6[Jours Mois]&amp;"/"&amp;Tableau6[[#Headers],[2024]],tabSuiviConso[Jour Mois Année],0)</f>
        <v>#N/A</v>
      </c>
      <c r="R136" s="35" t="str">
        <f>IF(ISNA(Tableau6[[#This Row],[Position 2024]]),"",INDEX(tabSuiviConso[HP + HC
cumul],Tableau6[[#This Row],[Position 2024]],1))</f>
        <v/>
      </c>
      <c r="S136" s="56" t="e">
        <f>IF(ISNA(Tableau6[[#This Row],[Position 2024]]),Tableau6[[#This Row],[Position 2024]],Tableau6[[#This Row],[2024]]-R$2)</f>
        <v>#N/A</v>
      </c>
      <c r="T136" s="35" t="e">
        <f>Tableau6[[#This Row],[Cumul 2024]]-Tableau6[[#This Row],[Cumul 2023]]</f>
        <v>#N/A</v>
      </c>
      <c r="U136" s="36" t="e">
        <f>Tableau6[[#This Row],[Ecart 2023 2024]]/Tableau6[[#This Row],[Cumul 2023]]</f>
        <v>#N/A</v>
      </c>
    </row>
    <row r="137" spans="1:21" x14ac:dyDescent="0.2">
      <c r="A137" s="35">
        <v>5</v>
      </c>
      <c r="B137" s="35">
        <v>14</v>
      </c>
      <c r="C137" s="35" t="str">
        <f>Tableau6[Jour]&amp;"/"&amp;Tableau6[Mois]</f>
        <v>14/5</v>
      </c>
      <c r="D137" s="35" t="e">
        <f>MATCH(Tableau6[Jours Mois]&amp;"/"&amp;Tableau6[[#Headers],[2021]],tabSuiviConso[Jour Mois Année],0)</f>
        <v>#N/A</v>
      </c>
      <c r="E137" s="35" t="str">
        <f>IF(ISNA(Tableau6[[#This Row],[Position 2021]]),"",INDEX(tabSuiviConso[HP + HC
cumul],Tableau6[[#This Row],[Position 2021]],1))</f>
        <v/>
      </c>
      <c r="F137" s="56" t="e">
        <f>IF(ISNA(Tableau6[[#This Row],[Position 2021]]),Tableau6[[#This Row],[Position 2021]],Tableau6[[#This Row],[2021]]-E$2)</f>
        <v>#N/A</v>
      </c>
      <c r="G137" s="35" t="e">
        <f>MATCH(Tableau6[Jours Mois]&amp;"/"&amp;Tableau6[[#Headers],[2022]],tabSuiviConso[Jour Mois Année],0)</f>
        <v>#N/A</v>
      </c>
      <c r="H137" s="35" t="str">
        <f>IF(ISNA(Tableau6[[#This Row],[Position 2022]]),"",INDEX(tabSuiviConso[HP + HC
cumul],Tableau6[[#This Row],[Position 2022]],1))</f>
        <v/>
      </c>
      <c r="I137" s="56" t="e">
        <f>IF(ISNA(Tableau6[[#This Row],[Position 2022]]),Tableau6[[#This Row],[Position 2022]],Tableau6[[#This Row],[2022]]-H$2)</f>
        <v>#N/A</v>
      </c>
      <c r="J137" s="35" t="e">
        <f>MATCH(Tableau6[Jours Mois]&amp;"/"&amp;Tableau6[[#Headers],[2023]],tabSuiviConso[Jour Mois Année],0)</f>
        <v>#N/A</v>
      </c>
      <c r="K137" s="35" t="e">
        <f>Tableau6[[#This Row],[Cumul 2022]]-Tableau6[[#This Row],[Cumul 2021]]</f>
        <v>#N/A</v>
      </c>
      <c r="L137" s="37" t="e">
        <f>Tableau6[[#This Row],[Ecart 2021 2022]]/Tableau6[[#This Row],[Cumul 2021]]</f>
        <v>#N/A</v>
      </c>
      <c r="M137" s="35" t="str">
        <f>IF(ISNA(Tableau6[[#This Row],[Position 2023]]),"",INDEX(tabSuiviConso[HP + HC
cumul],Tableau6[[#This Row],[Position 2023]],1))</f>
        <v/>
      </c>
      <c r="N137" s="56" t="e">
        <f>IF(ISNA(Tableau6[[#This Row],[Position 2023]]),Tableau6[[#This Row],[Position 2023]],Tableau6[[#This Row],[2023]]-M$2)</f>
        <v>#N/A</v>
      </c>
      <c r="O137" s="35" t="e">
        <f>Tableau6[[#This Row],[Cumul 2023]]-Tableau6[[#This Row],[Cumul 2022]]</f>
        <v>#N/A</v>
      </c>
      <c r="P137" s="37" t="e">
        <f>Tableau6[[#This Row],[Ecart 2022 2023]]/Tableau6[[#This Row],[Cumul 2022]]</f>
        <v>#N/A</v>
      </c>
      <c r="Q137" s="35" t="e">
        <f>MATCH(Tableau6[Jours Mois]&amp;"/"&amp;Tableau6[[#Headers],[2024]],tabSuiviConso[Jour Mois Année],0)</f>
        <v>#N/A</v>
      </c>
      <c r="R137" s="35" t="str">
        <f>IF(ISNA(Tableau6[[#This Row],[Position 2024]]),"",INDEX(tabSuiviConso[HP + HC
cumul],Tableau6[[#This Row],[Position 2024]],1))</f>
        <v/>
      </c>
      <c r="S137" s="56" t="e">
        <f>IF(ISNA(Tableau6[[#This Row],[Position 2024]]),Tableau6[[#This Row],[Position 2024]],Tableau6[[#This Row],[2024]]-R$2)</f>
        <v>#N/A</v>
      </c>
      <c r="T137" s="35" t="e">
        <f>Tableau6[[#This Row],[Cumul 2024]]-Tableau6[[#This Row],[Cumul 2023]]</f>
        <v>#N/A</v>
      </c>
      <c r="U137" s="36" t="e">
        <f>Tableau6[[#This Row],[Ecart 2023 2024]]/Tableau6[[#This Row],[Cumul 2023]]</f>
        <v>#N/A</v>
      </c>
    </row>
    <row r="138" spans="1:21" x14ac:dyDescent="0.2">
      <c r="A138" s="35">
        <v>5</v>
      </c>
      <c r="B138" s="35">
        <v>15</v>
      </c>
      <c r="C138" s="35" t="str">
        <f>Tableau6[Jour]&amp;"/"&amp;Tableau6[Mois]</f>
        <v>15/5</v>
      </c>
      <c r="D138" s="35" t="e">
        <f>MATCH(Tableau6[Jours Mois]&amp;"/"&amp;Tableau6[[#Headers],[2021]],tabSuiviConso[Jour Mois Année],0)</f>
        <v>#N/A</v>
      </c>
      <c r="E138" s="35" t="str">
        <f>IF(ISNA(Tableau6[[#This Row],[Position 2021]]),"",INDEX(tabSuiviConso[HP + HC
cumul],Tableau6[[#This Row],[Position 2021]],1))</f>
        <v/>
      </c>
      <c r="F138" s="56" t="e">
        <f>IF(ISNA(Tableau6[[#This Row],[Position 2021]]),Tableau6[[#This Row],[Position 2021]],Tableau6[[#This Row],[2021]]-E$2)</f>
        <v>#N/A</v>
      </c>
      <c r="G138" s="35" t="e">
        <f>MATCH(Tableau6[Jours Mois]&amp;"/"&amp;Tableau6[[#Headers],[2022]],tabSuiviConso[Jour Mois Année],0)</f>
        <v>#N/A</v>
      </c>
      <c r="H138" s="35" t="str">
        <f>IF(ISNA(Tableau6[[#This Row],[Position 2022]]),"",INDEX(tabSuiviConso[HP + HC
cumul],Tableau6[[#This Row],[Position 2022]],1))</f>
        <v/>
      </c>
      <c r="I138" s="56" t="e">
        <f>IF(ISNA(Tableau6[[#This Row],[Position 2022]]),Tableau6[[#This Row],[Position 2022]],Tableau6[[#This Row],[2022]]-H$2)</f>
        <v>#N/A</v>
      </c>
      <c r="J138" s="35" t="e">
        <f>MATCH(Tableau6[Jours Mois]&amp;"/"&amp;Tableau6[[#Headers],[2023]],tabSuiviConso[Jour Mois Année],0)</f>
        <v>#N/A</v>
      </c>
      <c r="K138" s="35" t="e">
        <f>Tableau6[[#This Row],[Cumul 2022]]-Tableau6[[#This Row],[Cumul 2021]]</f>
        <v>#N/A</v>
      </c>
      <c r="L138" s="37" t="e">
        <f>Tableau6[[#This Row],[Ecart 2021 2022]]/Tableau6[[#This Row],[Cumul 2021]]</f>
        <v>#N/A</v>
      </c>
      <c r="M138" s="35" t="str">
        <f>IF(ISNA(Tableau6[[#This Row],[Position 2023]]),"",INDEX(tabSuiviConso[HP + HC
cumul],Tableau6[[#This Row],[Position 2023]],1))</f>
        <v/>
      </c>
      <c r="N138" s="56" t="e">
        <f>IF(ISNA(Tableau6[[#This Row],[Position 2023]]),Tableau6[[#This Row],[Position 2023]],Tableau6[[#This Row],[2023]]-M$2)</f>
        <v>#N/A</v>
      </c>
      <c r="O138" s="35" t="e">
        <f>Tableau6[[#This Row],[Cumul 2023]]-Tableau6[[#This Row],[Cumul 2022]]</f>
        <v>#N/A</v>
      </c>
      <c r="P138" s="37" t="e">
        <f>Tableau6[[#This Row],[Ecart 2022 2023]]/Tableau6[[#This Row],[Cumul 2022]]</f>
        <v>#N/A</v>
      </c>
      <c r="Q138" s="35" t="e">
        <f>MATCH(Tableau6[Jours Mois]&amp;"/"&amp;Tableau6[[#Headers],[2024]],tabSuiviConso[Jour Mois Année],0)</f>
        <v>#N/A</v>
      </c>
      <c r="R138" s="35" t="str">
        <f>IF(ISNA(Tableau6[[#This Row],[Position 2024]]),"",INDEX(tabSuiviConso[HP + HC
cumul],Tableau6[[#This Row],[Position 2024]],1))</f>
        <v/>
      </c>
      <c r="S138" s="56" t="e">
        <f>IF(ISNA(Tableau6[[#This Row],[Position 2024]]),Tableau6[[#This Row],[Position 2024]],Tableau6[[#This Row],[2024]]-R$2)</f>
        <v>#N/A</v>
      </c>
      <c r="T138" s="35" t="e">
        <f>Tableau6[[#This Row],[Cumul 2024]]-Tableau6[[#This Row],[Cumul 2023]]</f>
        <v>#N/A</v>
      </c>
      <c r="U138" s="36" t="e">
        <f>Tableau6[[#This Row],[Ecart 2023 2024]]/Tableau6[[#This Row],[Cumul 2023]]</f>
        <v>#N/A</v>
      </c>
    </row>
    <row r="139" spans="1:21" x14ac:dyDescent="0.2">
      <c r="A139" s="35">
        <v>5</v>
      </c>
      <c r="B139" s="35">
        <v>16</v>
      </c>
      <c r="C139" s="35" t="str">
        <f>Tableau6[Jour]&amp;"/"&amp;Tableau6[Mois]</f>
        <v>16/5</v>
      </c>
      <c r="D139" s="35" t="e">
        <f>MATCH(Tableau6[Jours Mois]&amp;"/"&amp;Tableau6[[#Headers],[2021]],tabSuiviConso[Jour Mois Année],0)</f>
        <v>#N/A</v>
      </c>
      <c r="E139" s="35" t="str">
        <f>IF(ISNA(Tableau6[[#This Row],[Position 2021]]),"",INDEX(tabSuiviConso[HP + HC
cumul],Tableau6[[#This Row],[Position 2021]],1))</f>
        <v/>
      </c>
      <c r="F139" s="56" t="e">
        <f>IF(ISNA(Tableau6[[#This Row],[Position 2021]]),Tableau6[[#This Row],[Position 2021]],Tableau6[[#This Row],[2021]]-E$2)</f>
        <v>#N/A</v>
      </c>
      <c r="G139" s="35" t="e">
        <f>MATCH(Tableau6[Jours Mois]&amp;"/"&amp;Tableau6[[#Headers],[2022]],tabSuiviConso[Jour Mois Année],0)</f>
        <v>#N/A</v>
      </c>
      <c r="H139" s="35" t="str">
        <f>IF(ISNA(Tableau6[[#This Row],[Position 2022]]),"",INDEX(tabSuiviConso[HP + HC
cumul],Tableau6[[#This Row],[Position 2022]],1))</f>
        <v/>
      </c>
      <c r="I139" s="56" t="e">
        <f>IF(ISNA(Tableau6[[#This Row],[Position 2022]]),Tableau6[[#This Row],[Position 2022]],Tableau6[[#This Row],[2022]]-H$2)</f>
        <v>#N/A</v>
      </c>
      <c r="J139" s="35" t="e">
        <f>MATCH(Tableau6[Jours Mois]&amp;"/"&amp;Tableau6[[#Headers],[2023]],tabSuiviConso[Jour Mois Année],0)</f>
        <v>#N/A</v>
      </c>
      <c r="K139" s="35" t="e">
        <f>Tableau6[[#This Row],[Cumul 2022]]-Tableau6[[#This Row],[Cumul 2021]]</f>
        <v>#N/A</v>
      </c>
      <c r="L139" s="37" t="e">
        <f>Tableau6[[#This Row],[Ecart 2021 2022]]/Tableau6[[#This Row],[Cumul 2021]]</f>
        <v>#N/A</v>
      </c>
      <c r="M139" s="35" t="str">
        <f>IF(ISNA(Tableau6[[#This Row],[Position 2023]]),"",INDEX(tabSuiviConso[HP + HC
cumul],Tableau6[[#This Row],[Position 2023]],1))</f>
        <v/>
      </c>
      <c r="N139" s="56" t="e">
        <f>IF(ISNA(Tableau6[[#This Row],[Position 2023]]),Tableau6[[#This Row],[Position 2023]],Tableau6[[#This Row],[2023]]-M$2)</f>
        <v>#N/A</v>
      </c>
      <c r="O139" s="35" t="e">
        <f>Tableau6[[#This Row],[Cumul 2023]]-Tableau6[[#This Row],[Cumul 2022]]</f>
        <v>#N/A</v>
      </c>
      <c r="P139" s="37" t="e">
        <f>Tableau6[[#This Row],[Ecart 2022 2023]]/Tableau6[[#This Row],[Cumul 2022]]</f>
        <v>#N/A</v>
      </c>
      <c r="Q139" s="35" t="e">
        <f>MATCH(Tableau6[Jours Mois]&amp;"/"&amp;Tableau6[[#Headers],[2024]],tabSuiviConso[Jour Mois Année],0)</f>
        <v>#N/A</v>
      </c>
      <c r="R139" s="35" t="str">
        <f>IF(ISNA(Tableau6[[#This Row],[Position 2024]]),"",INDEX(tabSuiviConso[HP + HC
cumul],Tableau6[[#This Row],[Position 2024]],1))</f>
        <v/>
      </c>
      <c r="S139" s="56" t="e">
        <f>IF(ISNA(Tableau6[[#This Row],[Position 2024]]),Tableau6[[#This Row],[Position 2024]],Tableau6[[#This Row],[2024]]-R$2)</f>
        <v>#N/A</v>
      </c>
      <c r="T139" s="35" t="e">
        <f>Tableau6[[#This Row],[Cumul 2024]]-Tableau6[[#This Row],[Cumul 2023]]</f>
        <v>#N/A</v>
      </c>
      <c r="U139" s="36" t="e">
        <f>Tableau6[[#This Row],[Ecart 2023 2024]]/Tableau6[[#This Row],[Cumul 2023]]</f>
        <v>#N/A</v>
      </c>
    </row>
    <row r="140" spans="1:21" x14ac:dyDescent="0.2">
      <c r="A140" s="35">
        <v>5</v>
      </c>
      <c r="B140" s="35">
        <v>17</v>
      </c>
      <c r="C140" s="35" t="str">
        <f>Tableau6[Jour]&amp;"/"&amp;Tableau6[Mois]</f>
        <v>17/5</v>
      </c>
      <c r="D140" s="35" t="e">
        <f>MATCH(Tableau6[Jours Mois]&amp;"/"&amp;Tableau6[[#Headers],[2021]],tabSuiviConso[Jour Mois Année],0)</f>
        <v>#N/A</v>
      </c>
      <c r="E140" s="35" t="str">
        <f>IF(ISNA(Tableau6[[#This Row],[Position 2021]]),"",INDEX(tabSuiviConso[HP + HC
cumul],Tableau6[[#This Row],[Position 2021]],1))</f>
        <v/>
      </c>
      <c r="F140" s="56" t="e">
        <f>IF(ISNA(Tableau6[[#This Row],[Position 2021]]),Tableau6[[#This Row],[Position 2021]],Tableau6[[#This Row],[2021]]-E$2)</f>
        <v>#N/A</v>
      </c>
      <c r="G140" s="35" t="e">
        <f>MATCH(Tableau6[Jours Mois]&amp;"/"&amp;Tableau6[[#Headers],[2022]],tabSuiviConso[Jour Mois Année],0)</f>
        <v>#N/A</v>
      </c>
      <c r="H140" s="35" t="str">
        <f>IF(ISNA(Tableau6[[#This Row],[Position 2022]]),"",INDEX(tabSuiviConso[HP + HC
cumul],Tableau6[[#This Row],[Position 2022]],1))</f>
        <v/>
      </c>
      <c r="I140" s="56" t="e">
        <f>IF(ISNA(Tableau6[[#This Row],[Position 2022]]),Tableau6[[#This Row],[Position 2022]],Tableau6[[#This Row],[2022]]-H$2)</f>
        <v>#N/A</v>
      </c>
      <c r="J140" s="35" t="e">
        <f>MATCH(Tableau6[Jours Mois]&amp;"/"&amp;Tableau6[[#Headers],[2023]],tabSuiviConso[Jour Mois Année],0)</f>
        <v>#N/A</v>
      </c>
      <c r="K140" s="35" t="e">
        <f>Tableau6[[#This Row],[Cumul 2022]]-Tableau6[[#This Row],[Cumul 2021]]</f>
        <v>#N/A</v>
      </c>
      <c r="L140" s="37" t="e">
        <f>Tableau6[[#This Row],[Ecart 2021 2022]]/Tableau6[[#This Row],[Cumul 2021]]</f>
        <v>#N/A</v>
      </c>
      <c r="M140" s="35" t="str">
        <f>IF(ISNA(Tableau6[[#This Row],[Position 2023]]),"",INDEX(tabSuiviConso[HP + HC
cumul],Tableau6[[#This Row],[Position 2023]],1))</f>
        <v/>
      </c>
      <c r="N140" s="56" t="e">
        <f>IF(ISNA(Tableau6[[#This Row],[Position 2023]]),Tableau6[[#This Row],[Position 2023]],Tableau6[[#This Row],[2023]]-M$2)</f>
        <v>#N/A</v>
      </c>
      <c r="O140" s="35" t="e">
        <f>Tableau6[[#This Row],[Cumul 2023]]-Tableau6[[#This Row],[Cumul 2022]]</f>
        <v>#N/A</v>
      </c>
      <c r="P140" s="37" t="e">
        <f>Tableau6[[#This Row],[Ecart 2022 2023]]/Tableau6[[#This Row],[Cumul 2022]]</f>
        <v>#N/A</v>
      </c>
      <c r="Q140" s="35" t="e">
        <f>MATCH(Tableau6[Jours Mois]&amp;"/"&amp;Tableau6[[#Headers],[2024]],tabSuiviConso[Jour Mois Année],0)</f>
        <v>#N/A</v>
      </c>
      <c r="R140" s="35" t="str">
        <f>IF(ISNA(Tableau6[[#This Row],[Position 2024]]),"",INDEX(tabSuiviConso[HP + HC
cumul],Tableau6[[#This Row],[Position 2024]],1))</f>
        <v/>
      </c>
      <c r="S140" s="56" t="e">
        <f>IF(ISNA(Tableau6[[#This Row],[Position 2024]]),Tableau6[[#This Row],[Position 2024]],Tableau6[[#This Row],[2024]]-R$2)</f>
        <v>#N/A</v>
      </c>
      <c r="T140" s="35" t="e">
        <f>Tableau6[[#This Row],[Cumul 2024]]-Tableau6[[#This Row],[Cumul 2023]]</f>
        <v>#N/A</v>
      </c>
      <c r="U140" s="36" t="e">
        <f>Tableau6[[#This Row],[Ecart 2023 2024]]/Tableau6[[#This Row],[Cumul 2023]]</f>
        <v>#N/A</v>
      </c>
    </row>
    <row r="141" spans="1:21" x14ac:dyDescent="0.2">
      <c r="A141" s="35">
        <v>5</v>
      </c>
      <c r="B141" s="35">
        <v>18</v>
      </c>
      <c r="C141" s="35" t="str">
        <f>Tableau6[Jour]&amp;"/"&amp;Tableau6[Mois]</f>
        <v>18/5</v>
      </c>
      <c r="D141" s="35" t="e">
        <f>MATCH(Tableau6[Jours Mois]&amp;"/"&amp;Tableau6[[#Headers],[2021]],tabSuiviConso[Jour Mois Année],0)</f>
        <v>#N/A</v>
      </c>
      <c r="E141" s="35" t="str">
        <f>IF(ISNA(Tableau6[[#This Row],[Position 2021]]),"",INDEX(tabSuiviConso[HP + HC
cumul],Tableau6[[#This Row],[Position 2021]],1))</f>
        <v/>
      </c>
      <c r="F141" s="56" t="e">
        <f>IF(ISNA(Tableau6[[#This Row],[Position 2021]]),Tableau6[[#This Row],[Position 2021]],Tableau6[[#This Row],[2021]]-E$2)</f>
        <v>#N/A</v>
      </c>
      <c r="G141" s="35" t="e">
        <f>MATCH(Tableau6[Jours Mois]&amp;"/"&amp;Tableau6[[#Headers],[2022]],tabSuiviConso[Jour Mois Année],0)</f>
        <v>#N/A</v>
      </c>
      <c r="H141" s="35" t="str">
        <f>IF(ISNA(Tableau6[[#This Row],[Position 2022]]),"",INDEX(tabSuiviConso[HP + HC
cumul],Tableau6[[#This Row],[Position 2022]],1))</f>
        <v/>
      </c>
      <c r="I141" s="56" t="e">
        <f>IF(ISNA(Tableau6[[#This Row],[Position 2022]]),Tableau6[[#This Row],[Position 2022]],Tableau6[[#This Row],[2022]]-H$2)</f>
        <v>#N/A</v>
      </c>
      <c r="J141" s="35" t="e">
        <f>MATCH(Tableau6[Jours Mois]&amp;"/"&amp;Tableau6[[#Headers],[2023]],tabSuiviConso[Jour Mois Année],0)</f>
        <v>#N/A</v>
      </c>
      <c r="K141" s="35" t="e">
        <f>Tableau6[[#This Row],[Cumul 2022]]-Tableau6[[#This Row],[Cumul 2021]]</f>
        <v>#N/A</v>
      </c>
      <c r="L141" s="37" t="e">
        <f>Tableau6[[#This Row],[Ecart 2021 2022]]/Tableau6[[#This Row],[Cumul 2021]]</f>
        <v>#N/A</v>
      </c>
      <c r="M141" s="35" t="str">
        <f>IF(ISNA(Tableau6[[#This Row],[Position 2023]]),"",INDEX(tabSuiviConso[HP + HC
cumul],Tableau6[[#This Row],[Position 2023]],1))</f>
        <v/>
      </c>
      <c r="N141" s="56" t="e">
        <f>IF(ISNA(Tableau6[[#This Row],[Position 2023]]),Tableau6[[#This Row],[Position 2023]],Tableau6[[#This Row],[2023]]-M$2)</f>
        <v>#N/A</v>
      </c>
      <c r="O141" s="35" t="e">
        <f>Tableau6[[#This Row],[Cumul 2023]]-Tableau6[[#This Row],[Cumul 2022]]</f>
        <v>#N/A</v>
      </c>
      <c r="P141" s="37" t="e">
        <f>Tableau6[[#This Row],[Ecart 2022 2023]]/Tableau6[[#This Row],[Cumul 2022]]</f>
        <v>#N/A</v>
      </c>
      <c r="Q141" s="35" t="e">
        <f>MATCH(Tableau6[Jours Mois]&amp;"/"&amp;Tableau6[[#Headers],[2024]],tabSuiviConso[Jour Mois Année],0)</f>
        <v>#N/A</v>
      </c>
      <c r="R141" s="35" t="str">
        <f>IF(ISNA(Tableau6[[#This Row],[Position 2024]]),"",INDEX(tabSuiviConso[HP + HC
cumul],Tableau6[[#This Row],[Position 2024]],1))</f>
        <v/>
      </c>
      <c r="S141" s="56" t="e">
        <f>IF(ISNA(Tableau6[[#This Row],[Position 2024]]),Tableau6[[#This Row],[Position 2024]],Tableau6[[#This Row],[2024]]-R$2)</f>
        <v>#N/A</v>
      </c>
      <c r="T141" s="35" t="e">
        <f>Tableau6[[#This Row],[Cumul 2024]]-Tableau6[[#This Row],[Cumul 2023]]</f>
        <v>#N/A</v>
      </c>
      <c r="U141" s="36" t="e">
        <f>Tableau6[[#This Row],[Ecart 2023 2024]]/Tableau6[[#This Row],[Cumul 2023]]</f>
        <v>#N/A</v>
      </c>
    </row>
    <row r="142" spans="1:21" x14ac:dyDescent="0.2">
      <c r="A142" s="35">
        <v>5</v>
      </c>
      <c r="B142" s="35">
        <v>19</v>
      </c>
      <c r="C142" s="35" t="str">
        <f>Tableau6[Jour]&amp;"/"&amp;Tableau6[Mois]</f>
        <v>19/5</v>
      </c>
      <c r="D142" s="35" t="e">
        <f>MATCH(Tableau6[Jours Mois]&amp;"/"&amp;Tableau6[[#Headers],[2021]],tabSuiviConso[Jour Mois Année],0)</f>
        <v>#N/A</v>
      </c>
      <c r="E142" s="35" t="str">
        <f>IF(ISNA(Tableau6[[#This Row],[Position 2021]]),"",INDEX(tabSuiviConso[HP + HC
cumul],Tableau6[[#This Row],[Position 2021]],1))</f>
        <v/>
      </c>
      <c r="F142" s="56" t="e">
        <f>IF(ISNA(Tableau6[[#This Row],[Position 2021]]),Tableau6[[#This Row],[Position 2021]],Tableau6[[#This Row],[2021]]-E$2)</f>
        <v>#N/A</v>
      </c>
      <c r="G142" s="35" t="e">
        <f>MATCH(Tableau6[Jours Mois]&amp;"/"&amp;Tableau6[[#Headers],[2022]],tabSuiviConso[Jour Mois Année],0)</f>
        <v>#N/A</v>
      </c>
      <c r="H142" s="35" t="str">
        <f>IF(ISNA(Tableau6[[#This Row],[Position 2022]]),"",INDEX(tabSuiviConso[HP + HC
cumul],Tableau6[[#This Row],[Position 2022]],1))</f>
        <v/>
      </c>
      <c r="I142" s="56" t="e">
        <f>IF(ISNA(Tableau6[[#This Row],[Position 2022]]),Tableau6[[#This Row],[Position 2022]],Tableau6[[#This Row],[2022]]-H$2)</f>
        <v>#N/A</v>
      </c>
      <c r="J142" s="35" t="e">
        <f>MATCH(Tableau6[Jours Mois]&amp;"/"&amp;Tableau6[[#Headers],[2023]],tabSuiviConso[Jour Mois Année],0)</f>
        <v>#N/A</v>
      </c>
      <c r="K142" s="35" t="e">
        <f>Tableau6[[#This Row],[Cumul 2022]]-Tableau6[[#This Row],[Cumul 2021]]</f>
        <v>#N/A</v>
      </c>
      <c r="L142" s="37" t="e">
        <f>Tableau6[[#This Row],[Ecart 2021 2022]]/Tableau6[[#This Row],[Cumul 2021]]</f>
        <v>#N/A</v>
      </c>
      <c r="M142" s="35" t="str">
        <f>IF(ISNA(Tableau6[[#This Row],[Position 2023]]),"",INDEX(tabSuiviConso[HP + HC
cumul],Tableau6[[#This Row],[Position 2023]],1))</f>
        <v/>
      </c>
      <c r="N142" s="56" t="e">
        <f>IF(ISNA(Tableau6[[#This Row],[Position 2023]]),Tableau6[[#This Row],[Position 2023]],Tableau6[[#This Row],[2023]]-M$2)</f>
        <v>#N/A</v>
      </c>
      <c r="O142" s="35" t="e">
        <f>Tableau6[[#This Row],[Cumul 2023]]-Tableau6[[#This Row],[Cumul 2022]]</f>
        <v>#N/A</v>
      </c>
      <c r="P142" s="37" t="e">
        <f>Tableau6[[#This Row],[Ecart 2022 2023]]/Tableau6[[#This Row],[Cumul 2022]]</f>
        <v>#N/A</v>
      </c>
      <c r="Q142" s="35" t="e">
        <f>MATCH(Tableau6[Jours Mois]&amp;"/"&amp;Tableau6[[#Headers],[2024]],tabSuiviConso[Jour Mois Année],0)</f>
        <v>#N/A</v>
      </c>
      <c r="R142" s="35" t="str">
        <f>IF(ISNA(Tableau6[[#This Row],[Position 2024]]),"",INDEX(tabSuiviConso[HP + HC
cumul],Tableau6[[#This Row],[Position 2024]],1))</f>
        <v/>
      </c>
      <c r="S142" s="56" t="e">
        <f>IF(ISNA(Tableau6[[#This Row],[Position 2024]]),Tableau6[[#This Row],[Position 2024]],Tableau6[[#This Row],[2024]]-R$2)</f>
        <v>#N/A</v>
      </c>
      <c r="T142" s="35" t="e">
        <f>Tableau6[[#This Row],[Cumul 2024]]-Tableau6[[#This Row],[Cumul 2023]]</f>
        <v>#N/A</v>
      </c>
      <c r="U142" s="36" t="e">
        <f>Tableau6[[#This Row],[Ecart 2023 2024]]/Tableau6[[#This Row],[Cumul 2023]]</f>
        <v>#N/A</v>
      </c>
    </row>
    <row r="143" spans="1:21" x14ac:dyDescent="0.2">
      <c r="A143" s="35">
        <v>5</v>
      </c>
      <c r="B143" s="35">
        <v>20</v>
      </c>
      <c r="C143" s="35" t="str">
        <f>Tableau6[Jour]&amp;"/"&amp;Tableau6[Mois]</f>
        <v>20/5</v>
      </c>
      <c r="D143" s="35" t="e">
        <f>MATCH(Tableau6[Jours Mois]&amp;"/"&amp;Tableau6[[#Headers],[2021]],tabSuiviConso[Jour Mois Année],0)</f>
        <v>#N/A</v>
      </c>
      <c r="E143" s="35" t="str">
        <f>IF(ISNA(Tableau6[[#This Row],[Position 2021]]),"",INDEX(tabSuiviConso[HP + HC
cumul],Tableau6[[#This Row],[Position 2021]],1))</f>
        <v/>
      </c>
      <c r="F143" s="56" t="e">
        <f>IF(ISNA(Tableau6[[#This Row],[Position 2021]]),Tableau6[[#This Row],[Position 2021]],Tableau6[[#This Row],[2021]]-E$2)</f>
        <v>#N/A</v>
      </c>
      <c r="G143" s="35" t="e">
        <f>MATCH(Tableau6[Jours Mois]&amp;"/"&amp;Tableau6[[#Headers],[2022]],tabSuiviConso[Jour Mois Année],0)</f>
        <v>#N/A</v>
      </c>
      <c r="H143" s="35" t="str">
        <f>IF(ISNA(Tableau6[[#This Row],[Position 2022]]),"",INDEX(tabSuiviConso[HP + HC
cumul],Tableau6[[#This Row],[Position 2022]],1))</f>
        <v/>
      </c>
      <c r="I143" s="56" t="e">
        <f>IF(ISNA(Tableau6[[#This Row],[Position 2022]]),Tableau6[[#This Row],[Position 2022]],Tableau6[[#This Row],[2022]]-H$2)</f>
        <v>#N/A</v>
      </c>
      <c r="J143" s="35" t="e">
        <f>MATCH(Tableau6[Jours Mois]&amp;"/"&amp;Tableau6[[#Headers],[2023]],tabSuiviConso[Jour Mois Année],0)</f>
        <v>#N/A</v>
      </c>
      <c r="K143" s="35" t="e">
        <f>Tableau6[[#This Row],[Cumul 2022]]-Tableau6[[#This Row],[Cumul 2021]]</f>
        <v>#N/A</v>
      </c>
      <c r="L143" s="37" t="e">
        <f>Tableau6[[#This Row],[Ecart 2021 2022]]/Tableau6[[#This Row],[Cumul 2021]]</f>
        <v>#N/A</v>
      </c>
      <c r="M143" s="35" t="str">
        <f>IF(ISNA(Tableau6[[#This Row],[Position 2023]]),"",INDEX(tabSuiviConso[HP + HC
cumul],Tableau6[[#This Row],[Position 2023]],1))</f>
        <v/>
      </c>
      <c r="N143" s="56" t="e">
        <f>IF(ISNA(Tableau6[[#This Row],[Position 2023]]),Tableau6[[#This Row],[Position 2023]],Tableau6[[#This Row],[2023]]-M$2)</f>
        <v>#N/A</v>
      </c>
      <c r="O143" s="35" t="e">
        <f>Tableau6[[#This Row],[Cumul 2023]]-Tableau6[[#This Row],[Cumul 2022]]</f>
        <v>#N/A</v>
      </c>
      <c r="P143" s="37" t="e">
        <f>Tableau6[[#This Row],[Ecart 2022 2023]]/Tableau6[[#This Row],[Cumul 2022]]</f>
        <v>#N/A</v>
      </c>
      <c r="Q143" s="35" t="e">
        <f>MATCH(Tableau6[Jours Mois]&amp;"/"&amp;Tableau6[[#Headers],[2024]],tabSuiviConso[Jour Mois Année],0)</f>
        <v>#N/A</v>
      </c>
      <c r="R143" s="35" t="str">
        <f>IF(ISNA(Tableau6[[#This Row],[Position 2024]]),"",INDEX(tabSuiviConso[HP + HC
cumul],Tableau6[[#This Row],[Position 2024]],1))</f>
        <v/>
      </c>
      <c r="S143" s="56" t="e">
        <f>IF(ISNA(Tableau6[[#This Row],[Position 2024]]),Tableau6[[#This Row],[Position 2024]],Tableau6[[#This Row],[2024]]-R$2)</f>
        <v>#N/A</v>
      </c>
      <c r="T143" s="35" t="e">
        <f>Tableau6[[#This Row],[Cumul 2024]]-Tableau6[[#This Row],[Cumul 2023]]</f>
        <v>#N/A</v>
      </c>
      <c r="U143" s="36" t="e">
        <f>Tableau6[[#This Row],[Ecart 2023 2024]]/Tableau6[[#This Row],[Cumul 2023]]</f>
        <v>#N/A</v>
      </c>
    </row>
    <row r="144" spans="1:21" x14ac:dyDescent="0.2">
      <c r="A144" s="35">
        <v>5</v>
      </c>
      <c r="B144" s="35">
        <v>21</v>
      </c>
      <c r="C144" s="35" t="str">
        <f>Tableau6[Jour]&amp;"/"&amp;Tableau6[Mois]</f>
        <v>21/5</v>
      </c>
      <c r="D144" s="35" t="e">
        <f>MATCH(Tableau6[Jours Mois]&amp;"/"&amp;Tableau6[[#Headers],[2021]],tabSuiviConso[Jour Mois Année],0)</f>
        <v>#N/A</v>
      </c>
      <c r="E144" s="35" t="str">
        <f>IF(ISNA(Tableau6[[#This Row],[Position 2021]]),"",INDEX(tabSuiviConso[HP + HC
cumul],Tableau6[[#This Row],[Position 2021]],1))</f>
        <v/>
      </c>
      <c r="F144" s="56" t="e">
        <f>IF(ISNA(Tableau6[[#This Row],[Position 2021]]),Tableau6[[#This Row],[Position 2021]],Tableau6[[#This Row],[2021]]-E$2)</f>
        <v>#N/A</v>
      </c>
      <c r="G144" s="35" t="e">
        <f>MATCH(Tableau6[Jours Mois]&amp;"/"&amp;Tableau6[[#Headers],[2022]],tabSuiviConso[Jour Mois Année],0)</f>
        <v>#N/A</v>
      </c>
      <c r="H144" s="35" t="str">
        <f>IF(ISNA(Tableau6[[#This Row],[Position 2022]]),"",INDEX(tabSuiviConso[HP + HC
cumul],Tableau6[[#This Row],[Position 2022]],1))</f>
        <v/>
      </c>
      <c r="I144" s="56" t="e">
        <f>IF(ISNA(Tableau6[[#This Row],[Position 2022]]),Tableau6[[#This Row],[Position 2022]],Tableau6[[#This Row],[2022]]-H$2)</f>
        <v>#N/A</v>
      </c>
      <c r="J144" s="35" t="e">
        <f>MATCH(Tableau6[Jours Mois]&amp;"/"&amp;Tableau6[[#Headers],[2023]],tabSuiviConso[Jour Mois Année],0)</f>
        <v>#N/A</v>
      </c>
      <c r="K144" s="35" t="e">
        <f>Tableau6[[#This Row],[Cumul 2022]]-Tableau6[[#This Row],[Cumul 2021]]</f>
        <v>#N/A</v>
      </c>
      <c r="L144" s="37" t="e">
        <f>Tableau6[[#This Row],[Ecart 2021 2022]]/Tableau6[[#This Row],[Cumul 2021]]</f>
        <v>#N/A</v>
      </c>
      <c r="M144" s="35" t="str">
        <f>IF(ISNA(Tableau6[[#This Row],[Position 2023]]),"",INDEX(tabSuiviConso[HP + HC
cumul],Tableau6[[#This Row],[Position 2023]],1))</f>
        <v/>
      </c>
      <c r="N144" s="56" t="e">
        <f>IF(ISNA(Tableau6[[#This Row],[Position 2023]]),Tableau6[[#This Row],[Position 2023]],Tableau6[[#This Row],[2023]]-M$2)</f>
        <v>#N/A</v>
      </c>
      <c r="O144" s="35" t="e">
        <f>Tableau6[[#This Row],[Cumul 2023]]-Tableau6[[#This Row],[Cumul 2022]]</f>
        <v>#N/A</v>
      </c>
      <c r="P144" s="37" t="e">
        <f>Tableau6[[#This Row],[Ecart 2022 2023]]/Tableau6[[#This Row],[Cumul 2022]]</f>
        <v>#N/A</v>
      </c>
      <c r="Q144" s="35" t="e">
        <f>MATCH(Tableau6[Jours Mois]&amp;"/"&amp;Tableau6[[#Headers],[2024]],tabSuiviConso[Jour Mois Année],0)</f>
        <v>#N/A</v>
      </c>
      <c r="R144" s="35" t="str">
        <f>IF(ISNA(Tableau6[[#This Row],[Position 2024]]),"",INDEX(tabSuiviConso[HP + HC
cumul],Tableau6[[#This Row],[Position 2024]],1))</f>
        <v/>
      </c>
      <c r="S144" s="56" t="e">
        <f>IF(ISNA(Tableau6[[#This Row],[Position 2024]]),Tableau6[[#This Row],[Position 2024]],Tableau6[[#This Row],[2024]]-R$2)</f>
        <v>#N/A</v>
      </c>
      <c r="T144" s="35" t="e">
        <f>Tableau6[[#This Row],[Cumul 2024]]-Tableau6[[#This Row],[Cumul 2023]]</f>
        <v>#N/A</v>
      </c>
      <c r="U144" s="36" t="e">
        <f>Tableau6[[#This Row],[Ecart 2023 2024]]/Tableau6[[#This Row],[Cumul 2023]]</f>
        <v>#N/A</v>
      </c>
    </row>
    <row r="145" spans="1:21" x14ac:dyDescent="0.2">
      <c r="A145" s="35">
        <v>5</v>
      </c>
      <c r="B145" s="35">
        <v>22</v>
      </c>
      <c r="C145" s="35" t="str">
        <f>Tableau6[Jour]&amp;"/"&amp;Tableau6[Mois]</f>
        <v>22/5</v>
      </c>
      <c r="D145" s="35" t="e">
        <f>MATCH(Tableau6[Jours Mois]&amp;"/"&amp;Tableau6[[#Headers],[2021]],tabSuiviConso[Jour Mois Année],0)</f>
        <v>#N/A</v>
      </c>
      <c r="E145" s="35" t="str">
        <f>IF(ISNA(Tableau6[[#This Row],[Position 2021]]),"",INDEX(tabSuiviConso[HP + HC
cumul],Tableau6[[#This Row],[Position 2021]],1))</f>
        <v/>
      </c>
      <c r="F145" s="56" t="e">
        <f>IF(ISNA(Tableau6[[#This Row],[Position 2021]]),Tableau6[[#This Row],[Position 2021]],Tableau6[[#This Row],[2021]]-E$2)</f>
        <v>#N/A</v>
      </c>
      <c r="G145" s="35" t="e">
        <f>MATCH(Tableau6[Jours Mois]&amp;"/"&amp;Tableau6[[#Headers],[2022]],tabSuiviConso[Jour Mois Année],0)</f>
        <v>#N/A</v>
      </c>
      <c r="H145" s="35" t="str">
        <f>IF(ISNA(Tableau6[[#This Row],[Position 2022]]),"",INDEX(tabSuiviConso[HP + HC
cumul],Tableau6[[#This Row],[Position 2022]],1))</f>
        <v/>
      </c>
      <c r="I145" s="56" t="e">
        <f>IF(ISNA(Tableau6[[#This Row],[Position 2022]]),Tableau6[[#This Row],[Position 2022]],Tableau6[[#This Row],[2022]]-H$2)</f>
        <v>#N/A</v>
      </c>
      <c r="J145" s="35" t="e">
        <f>MATCH(Tableau6[Jours Mois]&amp;"/"&amp;Tableau6[[#Headers],[2023]],tabSuiviConso[Jour Mois Année],0)</f>
        <v>#N/A</v>
      </c>
      <c r="K145" s="35" t="e">
        <f>Tableau6[[#This Row],[Cumul 2022]]-Tableau6[[#This Row],[Cumul 2021]]</f>
        <v>#N/A</v>
      </c>
      <c r="L145" s="37" t="e">
        <f>Tableau6[[#This Row],[Ecart 2021 2022]]/Tableau6[[#This Row],[Cumul 2021]]</f>
        <v>#N/A</v>
      </c>
      <c r="M145" s="35" t="str">
        <f>IF(ISNA(Tableau6[[#This Row],[Position 2023]]),"",INDEX(tabSuiviConso[HP + HC
cumul],Tableau6[[#This Row],[Position 2023]],1))</f>
        <v/>
      </c>
      <c r="N145" s="56" t="e">
        <f>IF(ISNA(Tableau6[[#This Row],[Position 2023]]),Tableau6[[#This Row],[Position 2023]],Tableau6[[#This Row],[2023]]-M$2)</f>
        <v>#N/A</v>
      </c>
      <c r="O145" s="35" t="e">
        <f>Tableau6[[#This Row],[Cumul 2023]]-Tableau6[[#This Row],[Cumul 2022]]</f>
        <v>#N/A</v>
      </c>
      <c r="P145" s="37" t="e">
        <f>Tableau6[[#This Row],[Ecart 2022 2023]]/Tableau6[[#This Row],[Cumul 2022]]</f>
        <v>#N/A</v>
      </c>
      <c r="Q145" s="35" t="e">
        <f>MATCH(Tableau6[Jours Mois]&amp;"/"&amp;Tableau6[[#Headers],[2024]],tabSuiviConso[Jour Mois Année],0)</f>
        <v>#N/A</v>
      </c>
      <c r="R145" s="35" t="str">
        <f>IF(ISNA(Tableau6[[#This Row],[Position 2024]]),"",INDEX(tabSuiviConso[HP + HC
cumul],Tableau6[[#This Row],[Position 2024]],1))</f>
        <v/>
      </c>
      <c r="S145" s="56" t="e">
        <f>IF(ISNA(Tableau6[[#This Row],[Position 2024]]),Tableau6[[#This Row],[Position 2024]],Tableau6[[#This Row],[2024]]-R$2)</f>
        <v>#N/A</v>
      </c>
      <c r="T145" s="35" t="e">
        <f>Tableau6[[#This Row],[Cumul 2024]]-Tableau6[[#This Row],[Cumul 2023]]</f>
        <v>#N/A</v>
      </c>
      <c r="U145" s="36" t="e">
        <f>Tableau6[[#This Row],[Ecart 2023 2024]]/Tableau6[[#This Row],[Cumul 2023]]</f>
        <v>#N/A</v>
      </c>
    </row>
    <row r="146" spans="1:21" x14ac:dyDescent="0.2">
      <c r="A146" s="35">
        <v>5</v>
      </c>
      <c r="B146" s="35">
        <v>23</v>
      </c>
      <c r="C146" s="35" t="str">
        <f>Tableau6[Jour]&amp;"/"&amp;Tableau6[Mois]</f>
        <v>23/5</v>
      </c>
      <c r="D146" s="35" t="e">
        <f>MATCH(Tableau6[Jours Mois]&amp;"/"&amp;Tableau6[[#Headers],[2021]],tabSuiviConso[Jour Mois Année],0)</f>
        <v>#N/A</v>
      </c>
      <c r="E146" s="35" t="str">
        <f>IF(ISNA(Tableau6[[#This Row],[Position 2021]]),"",INDEX(tabSuiviConso[HP + HC
cumul],Tableau6[[#This Row],[Position 2021]],1))</f>
        <v/>
      </c>
      <c r="F146" s="56" t="e">
        <f>IF(ISNA(Tableau6[[#This Row],[Position 2021]]),Tableau6[[#This Row],[Position 2021]],Tableau6[[#This Row],[2021]]-E$2)</f>
        <v>#N/A</v>
      </c>
      <c r="G146" s="35" t="e">
        <f>MATCH(Tableau6[Jours Mois]&amp;"/"&amp;Tableau6[[#Headers],[2022]],tabSuiviConso[Jour Mois Année],0)</f>
        <v>#N/A</v>
      </c>
      <c r="H146" s="35" t="str">
        <f>IF(ISNA(Tableau6[[#This Row],[Position 2022]]),"",INDEX(tabSuiviConso[HP + HC
cumul],Tableau6[[#This Row],[Position 2022]],1))</f>
        <v/>
      </c>
      <c r="I146" s="56" t="e">
        <f>IF(ISNA(Tableau6[[#This Row],[Position 2022]]),Tableau6[[#This Row],[Position 2022]],Tableau6[[#This Row],[2022]]-H$2)</f>
        <v>#N/A</v>
      </c>
      <c r="J146" s="35" t="e">
        <f>MATCH(Tableau6[Jours Mois]&amp;"/"&amp;Tableau6[[#Headers],[2023]],tabSuiviConso[Jour Mois Année],0)</f>
        <v>#N/A</v>
      </c>
      <c r="K146" s="35" t="e">
        <f>Tableau6[[#This Row],[Cumul 2022]]-Tableau6[[#This Row],[Cumul 2021]]</f>
        <v>#N/A</v>
      </c>
      <c r="L146" s="37" t="e">
        <f>Tableau6[[#This Row],[Ecart 2021 2022]]/Tableau6[[#This Row],[Cumul 2021]]</f>
        <v>#N/A</v>
      </c>
      <c r="M146" s="35" t="str">
        <f>IF(ISNA(Tableau6[[#This Row],[Position 2023]]),"",INDEX(tabSuiviConso[HP + HC
cumul],Tableau6[[#This Row],[Position 2023]],1))</f>
        <v/>
      </c>
      <c r="N146" s="56" t="e">
        <f>IF(ISNA(Tableau6[[#This Row],[Position 2023]]),Tableau6[[#This Row],[Position 2023]],Tableau6[[#This Row],[2023]]-M$2)</f>
        <v>#N/A</v>
      </c>
      <c r="O146" s="35" t="e">
        <f>Tableau6[[#This Row],[Cumul 2023]]-Tableau6[[#This Row],[Cumul 2022]]</f>
        <v>#N/A</v>
      </c>
      <c r="P146" s="37" t="e">
        <f>Tableau6[[#This Row],[Ecart 2022 2023]]/Tableau6[[#This Row],[Cumul 2022]]</f>
        <v>#N/A</v>
      </c>
      <c r="Q146" s="35" t="e">
        <f>MATCH(Tableau6[Jours Mois]&amp;"/"&amp;Tableau6[[#Headers],[2024]],tabSuiviConso[Jour Mois Année],0)</f>
        <v>#N/A</v>
      </c>
      <c r="R146" s="35" t="str">
        <f>IF(ISNA(Tableau6[[#This Row],[Position 2024]]),"",INDEX(tabSuiviConso[HP + HC
cumul],Tableau6[[#This Row],[Position 2024]],1))</f>
        <v/>
      </c>
      <c r="S146" s="56" t="e">
        <f>IF(ISNA(Tableau6[[#This Row],[Position 2024]]),Tableau6[[#This Row],[Position 2024]],Tableau6[[#This Row],[2024]]-R$2)</f>
        <v>#N/A</v>
      </c>
      <c r="T146" s="35" t="e">
        <f>Tableau6[[#This Row],[Cumul 2024]]-Tableau6[[#This Row],[Cumul 2023]]</f>
        <v>#N/A</v>
      </c>
      <c r="U146" s="36" t="e">
        <f>Tableau6[[#This Row],[Ecart 2023 2024]]/Tableau6[[#This Row],[Cumul 2023]]</f>
        <v>#N/A</v>
      </c>
    </row>
    <row r="147" spans="1:21" x14ac:dyDescent="0.2">
      <c r="A147" s="35">
        <v>5</v>
      </c>
      <c r="B147" s="35">
        <v>24</v>
      </c>
      <c r="C147" s="35" t="str">
        <f>Tableau6[Jour]&amp;"/"&amp;Tableau6[Mois]</f>
        <v>24/5</v>
      </c>
      <c r="D147" s="35" t="e">
        <f>MATCH(Tableau6[Jours Mois]&amp;"/"&amp;Tableau6[[#Headers],[2021]],tabSuiviConso[Jour Mois Année],0)</f>
        <v>#N/A</v>
      </c>
      <c r="E147" s="35" t="str">
        <f>IF(ISNA(Tableau6[[#This Row],[Position 2021]]),"",INDEX(tabSuiviConso[HP + HC
cumul],Tableau6[[#This Row],[Position 2021]],1))</f>
        <v/>
      </c>
      <c r="F147" s="56" t="e">
        <f>IF(ISNA(Tableau6[[#This Row],[Position 2021]]),Tableau6[[#This Row],[Position 2021]],Tableau6[[#This Row],[2021]]-E$2)</f>
        <v>#N/A</v>
      </c>
      <c r="G147" s="35" t="e">
        <f>MATCH(Tableau6[Jours Mois]&amp;"/"&amp;Tableau6[[#Headers],[2022]],tabSuiviConso[Jour Mois Année],0)</f>
        <v>#N/A</v>
      </c>
      <c r="H147" s="35" t="str">
        <f>IF(ISNA(Tableau6[[#This Row],[Position 2022]]),"",INDEX(tabSuiviConso[HP + HC
cumul],Tableau6[[#This Row],[Position 2022]],1))</f>
        <v/>
      </c>
      <c r="I147" s="56" t="e">
        <f>IF(ISNA(Tableau6[[#This Row],[Position 2022]]),Tableau6[[#This Row],[Position 2022]],Tableau6[[#This Row],[2022]]-H$2)</f>
        <v>#N/A</v>
      </c>
      <c r="J147" s="35" t="e">
        <f>MATCH(Tableau6[Jours Mois]&amp;"/"&amp;Tableau6[[#Headers],[2023]],tabSuiviConso[Jour Mois Année],0)</f>
        <v>#N/A</v>
      </c>
      <c r="K147" s="35" t="e">
        <f>Tableau6[[#This Row],[Cumul 2022]]-Tableau6[[#This Row],[Cumul 2021]]</f>
        <v>#N/A</v>
      </c>
      <c r="L147" s="37" t="e">
        <f>Tableau6[[#This Row],[Ecart 2021 2022]]/Tableau6[[#This Row],[Cumul 2021]]</f>
        <v>#N/A</v>
      </c>
      <c r="M147" s="35" t="str">
        <f>IF(ISNA(Tableau6[[#This Row],[Position 2023]]),"",INDEX(tabSuiviConso[HP + HC
cumul],Tableau6[[#This Row],[Position 2023]],1))</f>
        <v/>
      </c>
      <c r="N147" s="56" t="e">
        <f>IF(ISNA(Tableau6[[#This Row],[Position 2023]]),Tableau6[[#This Row],[Position 2023]],Tableau6[[#This Row],[2023]]-M$2)</f>
        <v>#N/A</v>
      </c>
      <c r="O147" s="35" t="e">
        <f>Tableau6[[#This Row],[Cumul 2023]]-Tableau6[[#This Row],[Cumul 2022]]</f>
        <v>#N/A</v>
      </c>
      <c r="P147" s="37" t="e">
        <f>Tableau6[[#This Row],[Ecart 2022 2023]]/Tableau6[[#This Row],[Cumul 2022]]</f>
        <v>#N/A</v>
      </c>
      <c r="Q147" s="35" t="e">
        <f>MATCH(Tableau6[Jours Mois]&amp;"/"&amp;Tableau6[[#Headers],[2024]],tabSuiviConso[Jour Mois Année],0)</f>
        <v>#N/A</v>
      </c>
      <c r="R147" s="35" t="str">
        <f>IF(ISNA(Tableau6[[#This Row],[Position 2024]]),"",INDEX(tabSuiviConso[HP + HC
cumul],Tableau6[[#This Row],[Position 2024]],1))</f>
        <v/>
      </c>
      <c r="S147" s="56" t="e">
        <f>IF(ISNA(Tableau6[[#This Row],[Position 2024]]),Tableau6[[#This Row],[Position 2024]],Tableau6[[#This Row],[2024]]-R$2)</f>
        <v>#N/A</v>
      </c>
      <c r="T147" s="35" t="e">
        <f>Tableau6[[#This Row],[Cumul 2024]]-Tableau6[[#This Row],[Cumul 2023]]</f>
        <v>#N/A</v>
      </c>
      <c r="U147" s="36" t="e">
        <f>Tableau6[[#This Row],[Ecart 2023 2024]]/Tableau6[[#This Row],[Cumul 2023]]</f>
        <v>#N/A</v>
      </c>
    </row>
    <row r="148" spans="1:21" x14ac:dyDescent="0.2">
      <c r="A148" s="35">
        <v>5</v>
      </c>
      <c r="B148" s="35">
        <v>25</v>
      </c>
      <c r="C148" s="35" t="str">
        <f>Tableau6[Jour]&amp;"/"&amp;Tableau6[Mois]</f>
        <v>25/5</v>
      </c>
      <c r="D148" s="35" t="e">
        <f>MATCH(Tableau6[Jours Mois]&amp;"/"&amp;Tableau6[[#Headers],[2021]],tabSuiviConso[Jour Mois Année],0)</f>
        <v>#N/A</v>
      </c>
      <c r="E148" s="35" t="str">
        <f>IF(ISNA(Tableau6[[#This Row],[Position 2021]]),"",INDEX(tabSuiviConso[HP + HC
cumul],Tableau6[[#This Row],[Position 2021]],1))</f>
        <v/>
      </c>
      <c r="F148" s="56" t="e">
        <f>IF(ISNA(Tableau6[[#This Row],[Position 2021]]),Tableau6[[#This Row],[Position 2021]],Tableau6[[#This Row],[2021]]-E$2)</f>
        <v>#N/A</v>
      </c>
      <c r="G148" s="35" t="e">
        <f>MATCH(Tableau6[Jours Mois]&amp;"/"&amp;Tableau6[[#Headers],[2022]],tabSuiviConso[Jour Mois Année],0)</f>
        <v>#N/A</v>
      </c>
      <c r="H148" s="35" t="str">
        <f>IF(ISNA(Tableau6[[#This Row],[Position 2022]]),"",INDEX(tabSuiviConso[HP + HC
cumul],Tableau6[[#This Row],[Position 2022]],1))</f>
        <v/>
      </c>
      <c r="I148" s="56" t="e">
        <f>IF(ISNA(Tableau6[[#This Row],[Position 2022]]),Tableau6[[#This Row],[Position 2022]],Tableau6[[#This Row],[2022]]-H$2)</f>
        <v>#N/A</v>
      </c>
      <c r="J148" s="35" t="e">
        <f>MATCH(Tableau6[Jours Mois]&amp;"/"&amp;Tableau6[[#Headers],[2023]],tabSuiviConso[Jour Mois Année],0)</f>
        <v>#N/A</v>
      </c>
      <c r="K148" s="35" t="e">
        <f>Tableau6[[#This Row],[Cumul 2022]]-Tableau6[[#This Row],[Cumul 2021]]</f>
        <v>#N/A</v>
      </c>
      <c r="L148" s="37" t="e">
        <f>Tableau6[[#This Row],[Ecart 2021 2022]]/Tableau6[[#This Row],[Cumul 2021]]</f>
        <v>#N/A</v>
      </c>
      <c r="M148" s="35" t="str">
        <f>IF(ISNA(Tableau6[[#This Row],[Position 2023]]),"",INDEX(tabSuiviConso[HP + HC
cumul],Tableau6[[#This Row],[Position 2023]],1))</f>
        <v/>
      </c>
      <c r="N148" s="56" t="e">
        <f>IF(ISNA(Tableau6[[#This Row],[Position 2023]]),Tableau6[[#This Row],[Position 2023]],Tableau6[[#This Row],[2023]]-M$2)</f>
        <v>#N/A</v>
      </c>
      <c r="O148" s="35" t="e">
        <f>Tableau6[[#This Row],[Cumul 2023]]-Tableau6[[#This Row],[Cumul 2022]]</f>
        <v>#N/A</v>
      </c>
      <c r="P148" s="37" t="e">
        <f>Tableau6[[#This Row],[Ecart 2022 2023]]/Tableau6[[#This Row],[Cumul 2022]]</f>
        <v>#N/A</v>
      </c>
      <c r="Q148" s="35" t="e">
        <f>MATCH(Tableau6[Jours Mois]&amp;"/"&amp;Tableau6[[#Headers],[2024]],tabSuiviConso[Jour Mois Année],0)</f>
        <v>#N/A</v>
      </c>
      <c r="R148" s="35" t="str">
        <f>IF(ISNA(Tableau6[[#This Row],[Position 2024]]),"",INDEX(tabSuiviConso[HP + HC
cumul],Tableau6[[#This Row],[Position 2024]],1))</f>
        <v/>
      </c>
      <c r="S148" s="56" t="e">
        <f>IF(ISNA(Tableau6[[#This Row],[Position 2024]]),Tableau6[[#This Row],[Position 2024]],Tableau6[[#This Row],[2024]]-R$2)</f>
        <v>#N/A</v>
      </c>
      <c r="T148" s="35" t="e">
        <f>Tableau6[[#This Row],[Cumul 2024]]-Tableau6[[#This Row],[Cumul 2023]]</f>
        <v>#N/A</v>
      </c>
      <c r="U148" s="36" t="e">
        <f>Tableau6[[#This Row],[Ecart 2023 2024]]/Tableau6[[#This Row],[Cumul 2023]]</f>
        <v>#N/A</v>
      </c>
    </row>
    <row r="149" spans="1:21" x14ac:dyDescent="0.2">
      <c r="A149" s="35">
        <v>5</v>
      </c>
      <c r="B149" s="35">
        <v>26</v>
      </c>
      <c r="C149" s="35" t="str">
        <f>Tableau6[Jour]&amp;"/"&amp;Tableau6[Mois]</f>
        <v>26/5</v>
      </c>
      <c r="D149" s="35" t="e">
        <f>MATCH(Tableau6[Jours Mois]&amp;"/"&amp;Tableau6[[#Headers],[2021]],tabSuiviConso[Jour Mois Année],0)</f>
        <v>#N/A</v>
      </c>
      <c r="E149" s="35" t="str">
        <f>IF(ISNA(Tableau6[[#This Row],[Position 2021]]),"",INDEX(tabSuiviConso[HP + HC
cumul],Tableau6[[#This Row],[Position 2021]],1))</f>
        <v/>
      </c>
      <c r="F149" s="56" t="e">
        <f>IF(ISNA(Tableau6[[#This Row],[Position 2021]]),Tableau6[[#This Row],[Position 2021]],Tableau6[[#This Row],[2021]]-E$2)</f>
        <v>#N/A</v>
      </c>
      <c r="G149" s="35" t="e">
        <f>MATCH(Tableau6[Jours Mois]&amp;"/"&amp;Tableau6[[#Headers],[2022]],tabSuiviConso[Jour Mois Année],0)</f>
        <v>#N/A</v>
      </c>
      <c r="H149" s="35" t="str">
        <f>IF(ISNA(Tableau6[[#This Row],[Position 2022]]),"",INDEX(tabSuiviConso[HP + HC
cumul],Tableau6[[#This Row],[Position 2022]],1))</f>
        <v/>
      </c>
      <c r="I149" s="56" t="e">
        <f>IF(ISNA(Tableau6[[#This Row],[Position 2022]]),Tableau6[[#This Row],[Position 2022]],Tableau6[[#This Row],[2022]]-H$2)</f>
        <v>#N/A</v>
      </c>
      <c r="J149" s="35" t="e">
        <f>MATCH(Tableau6[Jours Mois]&amp;"/"&amp;Tableau6[[#Headers],[2023]],tabSuiviConso[Jour Mois Année],0)</f>
        <v>#N/A</v>
      </c>
      <c r="K149" s="35" t="e">
        <f>Tableau6[[#This Row],[Cumul 2022]]-Tableau6[[#This Row],[Cumul 2021]]</f>
        <v>#N/A</v>
      </c>
      <c r="L149" s="37" t="e">
        <f>Tableau6[[#This Row],[Ecart 2021 2022]]/Tableau6[[#This Row],[Cumul 2021]]</f>
        <v>#N/A</v>
      </c>
      <c r="M149" s="35" t="str">
        <f>IF(ISNA(Tableau6[[#This Row],[Position 2023]]),"",INDEX(tabSuiviConso[HP + HC
cumul],Tableau6[[#This Row],[Position 2023]],1))</f>
        <v/>
      </c>
      <c r="N149" s="56" t="e">
        <f>IF(ISNA(Tableau6[[#This Row],[Position 2023]]),Tableau6[[#This Row],[Position 2023]],Tableau6[[#This Row],[2023]]-M$2)</f>
        <v>#N/A</v>
      </c>
      <c r="O149" s="35" t="e">
        <f>Tableau6[[#This Row],[Cumul 2023]]-Tableau6[[#This Row],[Cumul 2022]]</f>
        <v>#N/A</v>
      </c>
      <c r="P149" s="37" t="e">
        <f>Tableau6[[#This Row],[Ecart 2022 2023]]/Tableau6[[#This Row],[Cumul 2022]]</f>
        <v>#N/A</v>
      </c>
      <c r="Q149" s="35" t="e">
        <f>MATCH(Tableau6[Jours Mois]&amp;"/"&amp;Tableau6[[#Headers],[2024]],tabSuiviConso[Jour Mois Année],0)</f>
        <v>#N/A</v>
      </c>
      <c r="R149" s="35" t="str">
        <f>IF(ISNA(Tableau6[[#This Row],[Position 2024]]),"",INDEX(tabSuiviConso[HP + HC
cumul],Tableau6[[#This Row],[Position 2024]],1))</f>
        <v/>
      </c>
      <c r="S149" s="56" t="e">
        <f>IF(ISNA(Tableau6[[#This Row],[Position 2024]]),Tableau6[[#This Row],[Position 2024]],Tableau6[[#This Row],[2024]]-R$2)</f>
        <v>#N/A</v>
      </c>
      <c r="T149" s="35" t="e">
        <f>Tableau6[[#This Row],[Cumul 2024]]-Tableau6[[#This Row],[Cumul 2023]]</f>
        <v>#N/A</v>
      </c>
      <c r="U149" s="36" t="e">
        <f>Tableau6[[#This Row],[Ecart 2023 2024]]/Tableau6[[#This Row],[Cumul 2023]]</f>
        <v>#N/A</v>
      </c>
    </row>
    <row r="150" spans="1:21" x14ac:dyDescent="0.2">
      <c r="A150" s="35">
        <v>5</v>
      </c>
      <c r="B150" s="35">
        <v>27</v>
      </c>
      <c r="C150" s="35" t="str">
        <f>Tableau6[Jour]&amp;"/"&amp;Tableau6[Mois]</f>
        <v>27/5</v>
      </c>
      <c r="D150" s="35" t="e">
        <f>MATCH(Tableau6[Jours Mois]&amp;"/"&amp;Tableau6[[#Headers],[2021]],tabSuiviConso[Jour Mois Année],0)</f>
        <v>#N/A</v>
      </c>
      <c r="E150" s="35" t="str">
        <f>IF(ISNA(Tableau6[[#This Row],[Position 2021]]),"",INDEX(tabSuiviConso[HP + HC
cumul],Tableau6[[#This Row],[Position 2021]],1))</f>
        <v/>
      </c>
      <c r="F150" s="56" t="e">
        <f>IF(ISNA(Tableau6[[#This Row],[Position 2021]]),Tableau6[[#This Row],[Position 2021]],Tableau6[[#This Row],[2021]]-E$2)</f>
        <v>#N/A</v>
      </c>
      <c r="G150" s="35" t="e">
        <f>MATCH(Tableau6[Jours Mois]&amp;"/"&amp;Tableau6[[#Headers],[2022]],tabSuiviConso[Jour Mois Année],0)</f>
        <v>#N/A</v>
      </c>
      <c r="H150" s="35" t="str">
        <f>IF(ISNA(Tableau6[[#This Row],[Position 2022]]),"",INDEX(tabSuiviConso[HP + HC
cumul],Tableau6[[#This Row],[Position 2022]],1))</f>
        <v/>
      </c>
      <c r="I150" s="56" t="e">
        <f>IF(ISNA(Tableau6[[#This Row],[Position 2022]]),Tableau6[[#This Row],[Position 2022]],Tableau6[[#This Row],[2022]]-H$2)</f>
        <v>#N/A</v>
      </c>
      <c r="J150" s="35" t="e">
        <f>MATCH(Tableau6[Jours Mois]&amp;"/"&amp;Tableau6[[#Headers],[2023]],tabSuiviConso[Jour Mois Année],0)</f>
        <v>#N/A</v>
      </c>
      <c r="K150" s="35" t="e">
        <f>Tableau6[[#This Row],[Cumul 2022]]-Tableau6[[#This Row],[Cumul 2021]]</f>
        <v>#N/A</v>
      </c>
      <c r="L150" s="37" t="e">
        <f>Tableau6[[#This Row],[Ecart 2021 2022]]/Tableau6[[#This Row],[Cumul 2021]]</f>
        <v>#N/A</v>
      </c>
      <c r="M150" s="35" t="str">
        <f>IF(ISNA(Tableau6[[#This Row],[Position 2023]]),"",INDEX(tabSuiviConso[HP + HC
cumul],Tableau6[[#This Row],[Position 2023]],1))</f>
        <v/>
      </c>
      <c r="N150" s="56" t="e">
        <f>IF(ISNA(Tableau6[[#This Row],[Position 2023]]),Tableau6[[#This Row],[Position 2023]],Tableau6[[#This Row],[2023]]-M$2)</f>
        <v>#N/A</v>
      </c>
      <c r="O150" s="35" t="e">
        <f>Tableau6[[#This Row],[Cumul 2023]]-Tableau6[[#This Row],[Cumul 2022]]</f>
        <v>#N/A</v>
      </c>
      <c r="P150" s="37" t="e">
        <f>Tableau6[[#This Row],[Ecart 2022 2023]]/Tableau6[[#This Row],[Cumul 2022]]</f>
        <v>#N/A</v>
      </c>
      <c r="Q150" s="35" t="e">
        <f>MATCH(Tableau6[Jours Mois]&amp;"/"&amp;Tableau6[[#Headers],[2024]],tabSuiviConso[Jour Mois Année],0)</f>
        <v>#N/A</v>
      </c>
      <c r="R150" s="35" t="str">
        <f>IF(ISNA(Tableau6[[#This Row],[Position 2024]]),"",INDEX(tabSuiviConso[HP + HC
cumul],Tableau6[[#This Row],[Position 2024]],1))</f>
        <v/>
      </c>
      <c r="S150" s="56" t="e">
        <f>IF(ISNA(Tableau6[[#This Row],[Position 2024]]),Tableau6[[#This Row],[Position 2024]],Tableau6[[#This Row],[2024]]-R$2)</f>
        <v>#N/A</v>
      </c>
      <c r="T150" s="35" t="e">
        <f>Tableau6[[#This Row],[Cumul 2024]]-Tableau6[[#This Row],[Cumul 2023]]</f>
        <v>#N/A</v>
      </c>
      <c r="U150" s="36" t="e">
        <f>Tableau6[[#This Row],[Ecart 2023 2024]]/Tableau6[[#This Row],[Cumul 2023]]</f>
        <v>#N/A</v>
      </c>
    </row>
    <row r="151" spans="1:21" x14ac:dyDescent="0.2">
      <c r="A151" s="35">
        <v>5</v>
      </c>
      <c r="B151" s="35">
        <v>28</v>
      </c>
      <c r="C151" s="35" t="str">
        <f>Tableau6[Jour]&amp;"/"&amp;Tableau6[Mois]</f>
        <v>28/5</v>
      </c>
      <c r="D151" s="35" t="e">
        <f>MATCH(Tableau6[Jours Mois]&amp;"/"&amp;Tableau6[[#Headers],[2021]],tabSuiviConso[Jour Mois Année],0)</f>
        <v>#N/A</v>
      </c>
      <c r="E151" s="35" t="str">
        <f>IF(ISNA(Tableau6[[#This Row],[Position 2021]]),"",INDEX(tabSuiviConso[HP + HC
cumul],Tableau6[[#This Row],[Position 2021]],1))</f>
        <v/>
      </c>
      <c r="F151" s="56" t="e">
        <f>IF(ISNA(Tableau6[[#This Row],[Position 2021]]),Tableau6[[#This Row],[Position 2021]],Tableau6[[#This Row],[2021]]-E$2)</f>
        <v>#N/A</v>
      </c>
      <c r="G151" s="35" t="e">
        <f>MATCH(Tableau6[Jours Mois]&amp;"/"&amp;Tableau6[[#Headers],[2022]],tabSuiviConso[Jour Mois Année],0)</f>
        <v>#N/A</v>
      </c>
      <c r="H151" s="35" t="str">
        <f>IF(ISNA(Tableau6[[#This Row],[Position 2022]]),"",INDEX(tabSuiviConso[HP + HC
cumul],Tableau6[[#This Row],[Position 2022]],1))</f>
        <v/>
      </c>
      <c r="I151" s="56" t="e">
        <f>IF(ISNA(Tableau6[[#This Row],[Position 2022]]),Tableau6[[#This Row],[Position 2022]],Tableau6[[#This Row],[2022]]-H$2)</f>
        <v>#N/A</v>
      </c>
      <c r="J151" s="35" t="e">
        <f>MATCH(Tableau6[Jours Mois]&amp;"/"&amp;Tableau6[[#Headers],[2023]],tabSuiviConso[Jour Mois Année],0)</f>
        <v>#N/A</v>
      </c>
      <c r="K151" s="35" t="e">
        <f>Tableau6[[#This Row],[Cumul 2022]]-Tableau6[[#This Row],[Cumul 2021]]</f>
        <v>#N/A</v>
      </c>
      <c r="L151" s="37" t="e">
        <f>Tableau6[[#This Row],[Ecart 2021 2022]]/Tableau6[[#This Row],[Cumul 2021]]</f>
        <v>#N/A</v>
      </c>
      <c r="M151" s="35" t="str">
        <f>IF(ISNA(Tableau6[[#This Row],[Position 2023]]),"",INDEX(tabSuiviConso[HP + HC
cumul],Tableau6[[#This Row],[Position 2023]],1))</f>
        <v/>
      </c>
      <c r="N151" s="56" t="e">
        <f>IF(ISNA(Tableau6[[#This Row],[Position 2023]]),Tableau6[[#This Row],[Position 2023]],Tableau6[[#This Row],[2023]]-M$2)</f>
        <v>#N/A</v>
      </c>
      <c r="O151" s="35" t="e">
        <f>Tableau6[[#This Row],[Cumul 2023]]-Tableau6[[#This Row],[Cumul 2022]]</f>
        <v>#N/A</v>
      </c>
      <c r="P151" s="37" t="e">
        <f>Tableau6[[#This Row],[Ecart 2022 2023]]/Tableau6[[#This Row],[Cumul 2022]]</f>
        <v>#N/A</v>
      </c>
      <c r="Q151" s="35" t="e">
        <f>MATCH(Tableau6[Jours Mois]&amp;"/"&amp;Tableau6[[#Headers],[2024]],tabSuiviConso[Jour Mois Année],0)</f>
        <v>#N/A</v>
      </c>
      <c r="R151" s="35" t="str">
        <f>IF(ISNA(Tableau6[[#This Row],[Position 2024]]),"",INDEX(tabSuiviConso[HP + HC
cumul],Tableau6[[#This Row],[Position 2024]],1))</f>
        <v/>
      </c>
      <c r="S151" s="56" t="e">
        <f>IF(ISNA(Tableau6[[#This Row],[Position 2024]]),Tableau6[[#This Row],[Position 2024]],Tableau6[[#This Row],[2024]]-R$2)</f>
        <v>#N/A</v>
      </c>
      <c r="T151" s="35" t="e">
        <f>Tableau6[[#This Row],[Cumul 2024]]-Tableau6[[#This Row],[Cumul 2023]]</f>
        <v>#N/A</v>
      </c>
      <c r="U151" s="36" t="e">
        <f>Tableau6[[#This Row],[Ecart 2023 2024]]/Tableau6[[#This Row],[Cumul 2023]]</f>
        <v>#N/A</v>
      </c>
    </row>
    <row r="152" spans="1:21" x14ac:dyDescent="0.2">
      <c r="A152" s="35">
        <v>5</v>
      </c>
      <c r="B152" s="35">
        <v>29</v>
      </c>
      <c r="C152" s="35" t="str">
        <f>Tableau6[Jour]&amp;"/"&amp;Tableau6[Mois]</f>
        <v>29/5</v>
      </c>
      <c r="D152" s="35" t="e">
        <f>MATCH(Tableau6[Jours Mois]&amp;"/"&amp;Tableau6[[#Headers],[2021]],tabSuiviConso[Jour Mois Année],0)</f>
        <v>#N/A</v>
      </c>
      <c r="E152" s="35" t="str">
        <f>IF(ISNA(Tableau6[[#This Row],[Position 2021]]),"",INDEX(tabSuiviConso[HP + HC
cumul],Tableau6[[#This Row],[Position 2021]],1))</f>
        <v/>
      </c>
      <c r="F152" s="56" t="e">
        <f>IF(ISNA(Tableau6[[#This Row],[Position 2021]]),Tableau6[[#This Row],[Position 2021]],Tableau6[[#This Row],[2021]]-E$2)</f>
        <v>#N/A</v>
      </c>
      <c r="G152" s="35" t="e">
        <f>MATCH(Tableau6[Jours Mois]&amp;"/"&amp;Tableau6[[#Headers],[2022]],tabSuiviConso[Jour Mois Année],0)</f>
        <v>#N/A</v>
      </c>
      <c r="H152" s="35" t="str">
        <f>IF(ISNA(Tableau6[[#This Row],[Position 2022]]),"",INDEX(tabSuiviConso[HP + HC
cumul],Tableau6[[#This Row],[Position 2022]],1))</f>
        <v/>
      </c>
      <c r="I152" s="56" t="e">
        <f>IF(ISNA(Tableau6[[#This Row],[Position 2022]]),Tableau6[[#This Row],[Position 2022]],Tableau6[[#This Row],[2022]]-H$2)</f>
        <v>#N/A</v>
      </c>
      <c r="J152" s="35" t="e">
        <f>MATCH(Tableau6[Jours Mois]&amp;"/"&amp;Tableau6[[#Headers],[2023]],tabSuiviConso[Jour Mois Année],0)</f>
        <v>#N/A</v>
      </c>
      <c r="K152" s="35" t="e">
        <f>Tableau6[[#This Row],[Cumul 2022]]-Tableau6[[#This Row],[Cumul 2021]]</f>
        <v>#N/A</v>
      </c>
      <c r="L152" s="37" t="e">
        <f>Tableau6[[#This Row],[Ecart 2021 2022]]/Tableau6[[#This Row],[Cumul 2021]]</f>
        <v>#N/A</v>
      </c>
      <c r="M152" s="35" t="str">
        <f>IF(ISNA(Tableau6[[#This Row],[Position 2023]]),"",INDEX(tabSuiviConso[HP + HC
cumul],Tableau6[[#This Row],[Position 2023]],1))</f>
        <v/>
      </c>
      <c r="N152" s="56" t="e">
        <f>IF(ISNA(Tableau6[[#This Row],[Position 2023]]),Tableau6[[#This Row],[Position 2023]],Tableau6[[#This Row],[2023]]-M$2)</f>
        <v>#N/A</v>
      </c>
      <c r="O152" s="35" t="e">
        <f>Tableau6[[#This Row],[Cumul 2023]]-Tableau6[[#This Row],[Cumul 2022]]</f>
        <v>#N/A</v>
      </c>
      <c r="P152" s="37" t="e">
        <f>Tableau6[[#This Row],[Ecart 2022 2023]]/Tableau6[[#This Row],[Cumul 2022]]</f>
        <v>#N/A</v>
      </c>
      <c r="Q152" s="35" t="e">
        <f>MATCH(Tableau6[Jours Mois]&amp;"/"&amp;Tableau6[[#Headers],[2024]],tabSuiviConso[Jour Mois Année],0)</f>
        <v>#N/A</v>
      </c>
      <c r="R152" s="35" t="str">
        <f>IF(ISNA(Tableau6[[#This Row],[Position 2024]]),"",INDEX(tabSuiviConso[HP + HC
cumul],Tableau6[[#This Row],[Position 2024]],1))</f>
        <v/>
      </c>
      <c r="S152" s="56" t="e">
        <f>IF(ISNA(Tableau6[[#This Row],[Position 2024]]),Tableau6[[#This Row],[Position 2024]],Tableau6[[#This Row],[2024]]-R$2)</f>
        <v>#N/A</v>
      </c>
      <c r="T152" s="35" t="e">
        <f>Tableau6[[#This Row],[Cumul 2024]]-Tableau6[[#This Row],[Cumul 2023]]</f>
        <v>#N/A</v>
      </c>
      <c r="U152" s="36" t="e">
        <f>Tableau6[[#This Row],[Ecart 2023 2024]]/Tableau6[[#This Row],[Cumul 2023]]</f>
        <v>#N/A</v>
      </c>
    </row>
    <row r="153" spans="1:21" x14ac:dyDescent="0.2">
      <c r="A153" s="35">
        <v>5</v>
      </c>
      <c r="B153" s="35">
        <v>30</v>
      </c>
      <c r="C153" s="35" t="str">
        <f>Tableau6[Jour]&amp;"/"&amp;Tableau6[Mois]</f>
        <v>30/5</v>
      </c>
      <c r="D153" s="35" t="e">
        <f>MATCH(Tableau6[Jours Mois]&amp;"/"&amp;Tableau6[[#Headers],[2021]],tabSuiviConso[Jour Mois Année],0)</f>
        <v>#N/A</v>
      </c>
      <c r="E153" s="35" t="str">
        <f>IF(ISNA(Tableau6[[#This Row],[Position 2021]]),"",INDEX(tabSuiviConso[HP + HC
cumul],Tableau6[[#This Row],[Position 2021]],1))</f>
        <v/>
      </c>
      <c r="F153" s="56" t="e">
        <f>IF(ISNA(Tableau6[[#This Row],[Position 2021]]),Tableau6[[#This Row],[Position 2021]],Tableau6[[#This Row],[2021]]-E$2)</f>
        <v>#N/A</v>
      </c>
      <c r="G153" s="35" t="e">
        <f>MATCH(Tableau6[Jours Mois]&amp;"/"&amp;Tableau6[[#Headers],[2022]],tabSuiviConso[Jour Mois Année],0)</f>
        <v>#N/A</v>
      </c>
      <c r="H153" s="35" t="str">
        <f>IF(ISNA(Tableau6[[#This Row],[Position 2022]]),"",INDEX(tabSuiviConso[HP + HC
cumul],Tableau6[[#This Row],[Position 2022]],1))</f>
        <v/>
      </c>
      <c r="I153" s="56" t="e">
        <f>IF(ISNA(Tableau6[[#This Row],[Position 2022]]),Tableau6[[#This Row],[Position 2022]],Tableau6[[#This Row],[2022]]-H$2)</f>
        <v>#N/A</v>
      </c>
      <c r="J153" s="35" t="e">
        <f>MATCH(Tableau6[Jours Mois]&amp;"/"&amp;Tableau6[[#Headers],[2023]],tabSuiviConso[Jour Mois Année],0)</f>
        <v>#N/A</v>
      </c>
      <c r="K153" s="35" t="e">
        <f>Tableau6[[#This Row],[Cumul 2022]]-Tableau6[[#This Row],[Cumul 2021]]</f>
        <v>#N/A</v>
      </c>
      <c r="L153" s="37" t="e">
        <f>Tableau6[[#This Row],[Ecart 2021 2022]]/Tableau6[[#This Row],[Cumul 2021]]</f>
        <v>#N/A</v>
      </c>
      <c r="M153" s="35" t="str">
        <f>IF(ISNA(Tableau6[[#This Row],[Position 2023]]),"",INDEX(tabSuiviConso[HP + HC
cumul],Tableau6[[#This Row],[Position 2023]],1))</f>
        <v/>
      </c>
      <c r="N153" s="56" t="e">
        <f>IF(ISNA(Tableau6[[#This Row],[Position 2023]]),Tableau6[[#This Row],[Position 2023]],Tableau6[[#This Row],[2023]]-M$2)</f>
        <v>#N/A</v>
      </c>
      <c r="O153" s="35" t="e">
        <f>Tableau6[[#This Row],[Cumul 2023]]-Tableau6[[#This Row],[Cumul 2022]]</f>
        <v>#N/A</v>
      </c>
      <c r="P153" s="37" t="e">
        <f>Tableau6[[#This Row],[Ecart 2022 2023]]/Tableau6[[#This Row],[Cumul 2022]]</f>
        <v>#N/A</v>
      </c>
      <c r="Q153" s="35" t="e">
        <f>MATCH(Tableau6[Jours Mois]&amp;"/"&amp;Tableau6[[#Headers],[2024]],tabSuiviConso[Jour Mois Année],0)</f>
        <v>#N/A</v>
      </c>
      <c r="R153" s="35" t="str">
        <f>IF(ISNA(Tableau6[[#This Row],[Position 2024]]),"",INDEX(tabSuiviConso[HP + HC
cumul],Tableau6[[#This Row],[Position 2024]],1))</f>
        <v/>
      </c>
      <c r="S153" s="56" t="e">
        <f>IF(ISNA(Tableau6[[#This Row],[Position 2024]]),Tableau6[[#This Row],[Position 2024]],Tableau6[[#This Row],[2024]]-R$2)</f>
        <v>#N/A</v>
      </c>
      <c r="T153" s="35" t="e">
        <f>Tableau6[[#This Row],[Cumul 2024]]-Tableau6[[#This Row],[Cumul 2023]]</f>
        <v>#N/A</v>
      </c>
      <c r="U153" s="36" t="e">
        <f>Tableau6[[#This Row],[Ecart 2023 2024]]/Tableau6[[#This Row],[Cumul 2023]]</f>
        <v>#N/A</v>
      </c>
    </row>
    <row r="154" spans="1:21" x14ac:dyDescent="0.2">
      <c r="A154" s="35">
        <v>5</v>
      </c>
      <c r="B154" s="35">
        <v>31</v>
      </c>
      <c r="C154" s="35" t="str">
        <f>Tableau6[Jour]&amp;"/"&amp;Tableau6[Mois]</f>
        <v>31/5</v>
      </c>
      <c r="D154" s="35" t="e">
        <f>MATCH(Tableau6[Jours Mois]&amp;"/"&amp;Tableau6[[#Headers],[2021]],tabSuiviConso[Jour Mois Année],0)</f>
        <v>#N/A</v>
      </c>
      <c r="E154" s="35" t="str">
        <f>IF(ISNA(Tableau6[[#This Row],[Position 2021]]),"",INDEX(tabSuiviConso[HP + HC
cumul],Tableau6[[#This Row],[Position 2021]],1))</f>
        <v/>
      </c>
      <c r="F154" s="56" t="e">
        <f>IF(ISNA(Tableau6[[#This Row],[Position 2021]]),Tableau6[[#This Row],[Position 2021]],Tableau6[[#This Row],[2021]]-E$2)</f>
        <v>#N/A</v>
      </c>
      <c r="G154" s="35" t="e">
        <f>MATCH(Tableau6[Jours Mois]&amp;"/"&amp;Tableau6[[#Headers],[2022]],tabSuiviConso[Jour Mois Année],0)</f>
        <v>#N/A</v>
      </c>
      <c r="H154" s="35" t="str">
        <f>IF(ISNA(Tableau6[[#This Row],[Position 2022]]),"",INDEX(tabSuiviConso[HP + HC
cumul],Tableau6[[#This Row],[Position 2022]],1))</f>
        <v/>
      </c>
      <c r="I154" s="56" t="e">
        <f>IF(ISNA(Tableau6[[#This Row],[Position 2022]]),Tableau6[[#This Row],[Position 2022]],Tableau6[[#This Row],[2022]]-H$2)</f>
        <v>#N/A</v>
      </c>
      <c r="J154" s="35" t="e">
        <f>MATCH(Tableau6[Jours Mois]&amp;"/"&amp;Tableau6[[#Headers],[2023]],tabSuiviConso[Jour Mois Année],0)</f>
        <v>#N/A</v>
      </c>
      <c r="K154" s="35" t="e">
        <f>Tableau6[[#This Row],[Cumul 2022]]-Tableau6[[#This Row],[Cumul 2021]]</f>
        <v>#N/A</v>
      </c>
      <c r="L154" s="37" t="e">
        <f>Tableau6[[#This Row],[Ecart 2021 2022]]/Tableau6[[#This Row],[Cumul 2021]]</f>
        <v>#N/A</v>
      </c>
      <c r="M154" s="35" t="str">
        <f>IF(ISNA(Tableau6[[#This Row],[Position 2023]]),"",INDEX(tabSuiviConso[HP + HC
cumul],Tableau6[[#This Row],[Position 2023]],1))</f>
        <v/>
      </c>
      <c r="N154" s="56" t="e">
        <f>IF(ISNA(Tableau6[[#This Row],[Position 2023]]),Tableau6[[#This Row],[Position 2023]],Tableau6[[#This Row],[2023]]-M$2)</f>
        <v>#N/A</v>
      </c>
      <c r="O154" s="35" t="e">
        <f>Tableau6[[#This Row],[Cumul 2023]]-Tableau6[[#This Row],[Cumul 2022]]</f>
        <v>#N/A</v>
      </c>
      <c r="P154" s="37" t="e">
        <f>Tableau6[[#This Row],[Ecart 2022 2023]]/Tableau6[[#This Row],[Cumul 2022]]</f>
        <v>#N/A</v>
      </c>
      <c r="Q154" s="35" t="e">
        <f>MATCH(Tableau6[Jours Mois]&amp;"/"&amp;Tableau6[[#Headers],[2024]],tabSuiviConso[Jour Mois Année],0)</f>
        <v>#N/A</v>
      </c>
      <c r="R154" s="35" t="str">
        <f>IF(ISNA(Tableau6[[#This Row],[Position 2024]]),"",INDEX(tabSuiviConso[HP + HC
cumul],Tableau6[[#This Row],[Position 2024]],1))</f>
        <v/>
      </c>
      <c r="S154" s="56" t="e">
        <f>IF(ISNA(Tableau6[[#This Row],[Position 2024]]),Tableau6[[#This Row],[Position 2024]],Tableau6[[#This Row],[2024]]-R$2)</f>
        <v>#N/A</v>
      </c>
      <c r="T154" s="35" t="e">
        <f>Tableau6[[#This Row],[Cumul 2024]]-Tableau6[[#This Row],[Cumul 2023]]</f>
        <v>#N/A</v>
      </c>
      <c r="U154" s="36" t="e">
        <f>Tableau6[[#This Row],[Ecart 2023 2024]]/Tableau6[[#This Row],[Cumul 2023]]</f>
        <v>#N/A</v>
      </c>
    </row>
    <row r="155" spans="1:21" x14ac:dyDescent="0.2">
      <c r="A155" s="35">
        <v>6</v>
      </c>
      <c r="B155" s="35">
        <v>1</v>
      </c>
      <c r="C155" s="35" t="str">
        <f>Tableau6[Jour]&amp;"/"&amp;Tableau6[Mois]</f>
        <v>1/6</v>
      </c>
      <c r="D155" s="35" t="e">
        <f>MATCH(Tableau6[Jours Mois]&amp;"/"&amp;Tableau6[[#Headers],[2021]],tabSuiviConso[Jour Mois Année],0)</f>
        <v>#N/A</v>
      </c>
      <c r="E155" s="35" t="str">
        <f>IF(ISNA(Tableau6[[#This Row],[Position 2021]]),"",INDEX(tabSuiviConso[HP + HC
cumul],Tableau6[[#This Row],[Position 2021]],1))</f>
        <v/>
      </c>
      <c r="F155" s="56" t="e">
        <f>IF(ISNA(Tableau6[[#This Row],[Position 2021]]),Tableau6[[#This Row],[Position 2021]],Tableau6[[#This Row],[2021]]-E$2)</f>
        <v>#N/A</v>
      </c>
      <c r="G155" s="35" t="e">
        <f>MATCH(Tableau6[Jours Mois]&amp;"/"&amp;Tableau6[[#Headers],[2022]],tabSuiviConso[Jour Mois Année],0)</f>
        <v>#N/A</v>
      </c>
      <c r="H155" s="35" t="str">
        <f>IF(ISNA(Tableau6[[#This Row],[Position 2022]]),"",INDEX(tabSuiviConso[HP + HC
cumul],Tableau6[[#This Row],[Position 2022]],1))</f>
        <v/>
      </c>
      <c r="I155" s="56" t="e">
        <f>IF(ISNA(Tableau6[[#This Row],[Position 2022]]),Tableau6[[#This Row],[Position 2022]],Tableau6[[#This Row],[2022]]-H$2)</f>
        <v>#N/A</v>
      </c>
      <c r="J155" s="35" t="e">
        <f>MATCH(Tableau6[Jours Mois]&amp;"/"&amp;Tableau6[[#Headers],[2023]],tabSuiviConso[Jour Mois Année],0)</f>
        <v>#N/A</v>
      </c>
      <c r="K155" s="35" t="e">
        <f>Tableau6[[#This Row],[Cumul 2022]]-Tableau6[[#This Row],[Cumul 2021]]</f>
        <v>#N/A</v>
      </c>
      <c r="L155" s="37" t="e">
        <f>Tableau6[[#This Row],[Ecart 2021 2022]]/Tableau6[[#This Row],[Cumul 2021]]</f>
        <v>#N/A</v>
      </c>
      <c r="M155" s="35" t="str">
        <f>IF(ISNA(Tableau6[[#This Row],[Position 2023]]),"",INDEX(tabSuiviConso[HP + HC
cumul],Tableau6[[#This Row],[Position 2023]],1))</f>
        <v/>
      </c>
      <c r="N155" s="56" t="e">
        <f>IF(ISNA(Tableau6[[#This Row],[Position 2023]]),Tableau6[[#This Row],[Position 2023]],Tableau6[[#This Row],[2023]]-M$2)</f>
        <v>#N/A</v>
      </c>
      <c r="O155" s="35" t="e">
        <f>Tableau6[[#This Row],[Cumul 2023]]-Tableau6[[#This Row],[Cumul 2022]]</f>
        <v>#N/A</v>
      </c>
      <c r="P155" s="37" t="e">
        <f>Tableau6[[#This Row],[Ecart 2022 2023]]/Tableau6[[#This Row],[Cumul 2022]]</f>
        <v>#N/A</v>
      </c>
      <c r="Q155" s="35" t="e">
        <f>MATCH(Tableau6[Jours Mois]&amp;"/"&amp;Tableau6[[#Headers],[2024]],tabSuiviConso[Jour Mois Année],0)</f>
        <v>#N/A</v>
      </c>
      <c r="R155" s="35" t="str">
        <f>IF(ISNA(Tableau6[[#This Row],[Position 2024]]),"",INDEX(tabSuiviConso[HP + HC
cumul],Tableau6[[#This Row],[Position 2024]],1))</f>
        <v/>
      </c>
      <c r="S155" s="56" t="e">
        <f>IF(ISNA(Tableau6[[#This Row],[Position 2024]]),Tableau6[[#This Row],[Position 2024]],Tableau6[[#This Row],[2024]]-R$2)</f>
        <v>#N/A</v>
      </c>
      <c r="T155" s="35" t="e">
        <f>Tableau6[[#This Row],[Cumul 2024]]-Tableau6[[#This Row],[Cumul 2023]]</f>
        <v>#N/A</v>
      </c>
      <c r="U155" s="36" t="e">
        <f>Tableau6[[#This Row],[Ecart 2023 2024]]/Tableau6[[#This Row],[Cumul 2023]]</f>
        <v>#N/A</v>
      </c>
    </row>
    <row r="156" spans="1:21" x14ac:dyDescent="0.2">
      <c r="A156" s="35">
        <v>6</v>
      </c>
      <c r="B156" s="35">
        <v>2</v>
      </c>
      <c r="C156" s="35" t="str">
        <f>Tableau6[Jour]&amp;"/"&amp;Tableau6[Mois]</f>
        <v>2/6</v>
      </c>
      <c r="D156" s="35" t="e">
        <f>MATCH(Tableau6[Jours Mois]&amp;"/"&amp;Tableau6[[#Headers],[2021]],tabSuiviConso[Jour Mois Année],0)</f>
        <v>#N/A</v>
      </c>
      <c r="E156" s="35" t="str">
        <f>IF(ISNA(Tableau6[[#This Row],[Position 2021]]),"",INDEX(tabSuiviConso[HP + HC
cumul],Tableau6[[#This Row],[Position 2021]],1))</f>
        <v/>
      </c>
      <c r="F156" s="56" t="e">
        <f>IF(ISNA(Tableau6[[#This Row],[Position 2021]]),Tableau6[[#This Row],[Position 2021]],Tableau6[[#This Row],[2021]]-E$2)</f>
        <v>#N/A</v>
      </c>
      <c r="G156" s="35" t="e">
        <f>MATCH(Tableau6[Jours Mois]&amp;"/"&amp;Tableau6[[#Headers],[2022]],tabSuiviConso[Jour Mois Année],0)</f>
        <v>#N/A</v>
      </c>
      <c r="H156" s="35" t="str">
        <f>IF(ISNA(Tableau6[[#This Row],[Position 2022]]),"",INDEX(tabSuiviConso[HP + HC
cumul],Tableau6[[#This Row],[Position 2022]],1))</f>
        <v/>
      </c>
      <c r="I156" s="56" t="e">
        <f>IF(ISNA(Tableau6[[#This Row],[Position 2022]]),Tableau6[[#This Row],[Position 2022]],Tableau6[[#This Row],[2022]]-H$2)</f>
        <v>#N/A</v>
      </c>
      <c r="J156" s="35" t="e">
        <f>MATCH(Tableau6[Jours Mois]&amp;"/"&amp;Tableau6[[#Headers],[2023]],tabSuiviConso[Jour Mois Année],0)</f>
        <v>#N/A</v>
      </c>
      <c r="K156" s="35" t="e">
        <f>Tableau6[[#This Row],[Cumul 2022]]-Tableau6[[#This Row],[Cumul 2021]]</f>
        <v>#N/A</v>
      </c>
      <c r="L156" s="37" t="e">
        <f>Tableau6[[#This Row],[Ecart 2021 2022]]/Tableau6[[#This Row],[Cumul 2021]]</f>
        <v>#N/A</v>
      </c>
      <c r="M156" s="35" t="str">
        <f>IF(ISNA(Tableau6[[#This Row],[Position 2023]]),"",INDEX(tabSuiviConso[HP + HC
cumul],Tableau6[[#This Row],[Position 2023]],1))</f>
        <v/>
      </c>
      <c r="N156" s="56" t="e">
        <f>IF(ISNA(Tableau6[[#This Row],[Position 2023]]),Tableau6[[#This Row],[Position 2023]],Tableau6[[#This Row],[2023]]-M$2)</f>
        <v>#N/A</v>
      </c>
      <c r="O156" s="35" t="e">
        <f>Tableau6[[#This Row],[Cumul 2023]]-Tableau6[[#This Row],[Cumul 2022]]</f>
        <v>#N/A</v>
      </c>
      <c r="P156" s="37" t="e">
        <f>Tableau6[[#This Row],[Ecart 2022 2023]]/Tableau6[[#This Row],[Cumul 2022]]</f>
        <v>#N/A</v>
      </c>
      <c r="Q156" s="35" t="e">
        <f>MATCH(Tableau6[Jours Mois]&amp;"/"&amp;Tableau6[[#Headers],[2024]],tabSuiviConso[Jour Mois Année],0)</f>
        <v>#N/A</v>
      </c>
      <c r="R156" s="35" t="str">
        <f>IF(ISNA(Tableau6[[#This Row],[Position 2024]]),"",INDEX(tabSuiviConso[HP + HC
cumul],Tableau6[[#This Row],[Position 2024]],1))</f>
        <v/>
      </c>
      <c r="S156" s="56" t="e">
        <f>IF(ISNA(Tableau6[[#This Row],[Position 2024]]),Tableau6[[#This Row],[Position 2024]],Tableau6[[#This Row],[2024]]-R$2)</f>
        <v>#N/A</v>
      </c>
      <c r="T156" s="35" t="e">
        <f>Tableau6[[#This Row],[Cumul 2024]]-Tableau6[[#This Row],[Cumul 2023]]</f>
        <v>#N/A</v>
      </c>
      <c r="U156" s="36" t="e">
        <f>Tableau6[[#This Row],[Ecart 2023 2024]]/Tableau6[[#This Row],[Cumul 2023]]</f>
        <v>#N/A</v>
      </c>
    </row>
    <row r="157" spans="1:21" x14ac:dyDescent="0.2">
      <c r="A157" s="35">
        <v>6</v>
      </c>
      <c r="B157" s="35">
        <v>3</v>
      </c>
      <c r="C157" s="35" t="str">
        <f>Tableau6[Jour]&amp;"/"&amp;Tableau6[Mois]</f>
        <v>3/6</v>
      </c>
      <c r="D157" s="35" t="e">
        <f>MATCH(Tableau6[Jours Mois]&amp;"/"&amp;Tableau6[[#Headers],[2021]],tabSuiviConso[Jour Mois Année],0)</f>
        <v>#N/A</v>
      </c>
      <c r="E157" s="35" t="str">
        <f>IF(ISNA(Tableau6[[#This Row],[Position 2021]]),"",INDEX(tabSuiviConso[HP + HC
cumul],Tableau6[[#This Row],[Position 2021]],1))</f>
        <v/>
      </c>
      <c r="F157" s="56" t="e">
        <f>IF(ISNA(Tableau6[[#This Row],[Position 2021]]),Tableau6[[#This Row],[Position 2021]],Tableau6[[#This Row],[2021]]-E$2)</f>
        <v>#N/A</v>
      </c>
      <c r="G157" s="35" t="e">
        <f>MATCH(Tableau6[Jours Mois]&amp;"/"&amp;Tableau6[[#Headers],[2022]],tabSuiviConso[Jour Mois Année],0)</f>
        <v>#N/A</v>
      </c>
      <c r="H157" s="35" t="str">
        <f>IF(ISNA(Tableau6[[#This Row],[Position 2022]]),"",INDEX(tabSuiviConso[HP + HC
cumul],Tableau6[[#This Row],[Position 2022]],1))</f>
        <v/>
      </c>
      <c r="I157" s="56" t="e">
        <f>IF(ISNA(Tableau6[[#This Row],[Position 2022]]),Tableau6[[#This Row],[Position 2022]],Tableau6[[#This Row],[2022]]-H$2)</f>
        <v>#N/A</v>
      </c>
      <c r="J157" s="35" t="e">
        <f>MATCH(Tableau6[Jours Mois]&amp;"/"&amp;Tableau6[[#Headers],[2023]],tabSuiviConso[Jour Mois Année],0)</f>
        <v>#N/A</v>
      </c>
      <c r="K157" s="35" t="e">
        <f>Tableau6[[#This Row],[Cumul 2022]]-Tableau6[[#This Row],[Cumul 2021]]</f>
        <v>#N/A</v>
      </c>
      <c r="L157" s="37" t="e">
        <f>Tableau6[[#This Row],[Ecart 2021 2022]]/Tableau6[[#This Row],[Cumul 2021]]</f>
        <v>#N/A</v>
      </c>
      <c r="M157" s="35" t="str">
        <f>IF(ISNA(Tableau6[[#This Row],[Position 2023]]),"",INDEX(tabSuiviConso[HP + HC
cumul],Tableau6[[#This Row],[Position 2023]],1))</f>
        <v/>
      </c>
      <c r="N157" s="56" t="e">
        <f>IF(ISNA(Tableau6[[#This Row],[Position 2023]]),Tableau6[[#This Row],[Position 2023]],Tableau6[[#This Row],[2023]]-M$2)</f>
        <v>#N/A</v>
      </c>
      <c r="O157" s="35" t="e">
        <f>Tableau6[[#This Row],[Cumul 2023]]-Tableau6[[#This Row],[Cumul 2022]]</f>
        <v>#N/A</v>
      </c>
      <c r="P157" s="37" t="e">
        <f>Tableau6[[#This Row],[Ecart 2022 2023]]/Tableau6[[#This Row],[Cumul 2022]]</f>
        <v>#N/A</v>
      </c>
      <c r="Q157" s="35" t="e">
        <f>MATCH(Tableau6[Jours Mois]&amp;"/"&amp;Tableau6[[#Headers],[2024]],tabSuiviConso[Jour Mois Année],0)</f>
        <v>#N/A</v>
      </c>
      <c r="R157" s="35" t="str">
        <f>IF(ISNA(Tableau6[[#This Row],[Position 2024]]),"",INDEX(tabSuiviConso[HP + HC
cumul],Tableau6[[#This Row],[Position 2024]],1))</f>
        <v/>
      </c>
      <c r="S157" s="56" t="e">
        <f>IF(ISNA(Tableau6[[#This Row],[Position 2024]]),Tableau6[[#This Row],[Position 2024]],Tableau6[[#This Row],[2024]]-R$2)</f>
        <v>#N/A</v>
      </c>
      <c r="T157" s="35" t="e">
        <f>Tableau6[[#This Row],[Cumul 2024]]-Tableau6[[#This Row],[Cumul 2023]]</f>
        <v>#N/A</v>
      </c>
      <c r="U157" s="36" t="e">
        <f>Tableau6[[#This Row],[Ecart 2023 2024]]/Tableau6[[#This Row],[Cumul 2023]]</f>
        <v>#N/A</v>
      </c>
    </row>
    <row r="158" spans="1:21" x14ac:dyDescent="0.2">
      <c r="A158" s="35">
        <v>6</v>
      </c>
      <c r="B158" s="35">
        <v>4</v>
      </c>
      <c r="C158" s="35" t="str">
        <f>Tableau6[Jour]&amp;"/"&amp;Tableau6[Mois]</f>
        <v>4/6</v>
      </c>
      <c r="D158" s="35" t="e">
        <f>MATCH(Tableau6[Jours Mois]&amp;"/"&amp;Tableau6[[#Headers],[2021]],tabSuiviConso[Jour Mois Année],0)</f>
        <v>#N/A</v>
      </c>
      <c r="E158" s="35" t="str">
        <f>IF(ISNA(Tableau6[[#This Row],[Position 2021]]),"",INDEX(tabSuiviConso[HP + HC
cumul],Tableau6[[#This Row],[Position 2021]],1))</f>
        <v/>
      </c>
      <c r="F158" s="56" t="e">
        <f>IF(ISNA(Tableau6[[#This Row],[Position 2021]]),Tableau6[[#This Row],[Position 2021]],Tableau6[[#This Row],[2021]]-E$2)</f>
        <v>#N/A</v>
      </c>
      <c r="G158" s="35" t="e">
        <f>MATCH(Tableau6[Jours Mois]&amp;"/"&amp;Tableau6[[#Headers],[2022]],tabSuiviConso[Jour Mois Année],0)</f>
        <v>#N/A</v>
      </c>
      <c r="H158" s="35" t="str">
        <f>IF(ISNA(Tableau6[[#This Row],[Position 2022]]),"",INDEX(tabSuiviConso[HP + HC
cumul],Tableau6[[#This Row],[Position 2022]],1))</f>
        <v/>
      </c>
      <c r="I158" s="56" t="e">
        <f>IF(ISNA(Tableau6[[#This Row],[Position 2022]]),Tableau6[[#This Row],[Position 2022]],Tableau6[[#This Row],[2022]]-H$2)</f>
        <v>#N/A</v>
      </c>
      <c r="J158" s="35" t="e">
        <f>MATCH(Tableau6[Jours Mois]&amp;"/"&amp;Tableau6[[#Headers],[2023]],tabSuiviConso[Jour Mois Année],0)</f>
        <v>#N/A</v>
      </c>
      <c r="K158" s="35" t="e">
        <f>Tableau6[[#This Row],[Cumul 2022]]-Tableau6[[#This Row],[Cumul 2021]]</f>
        <v>#N/A</v>
      </c>
      <c r="L158" s="37" t="e">
        <f>Tableau6[[#This Row],[Ecart 2021 2022]]/Tableau6[[#This Row],[Cumul 2021]]</f>
        <v>#N/A</v>
      </c>
      <c r="M158" s="35" t="str">
        <f>IF(ISNA(Tableau6[[#This Row],[Position 2023]]),"",INDEX(tabSuiviConso[HP + HC
cumul],Tableau6[[#This Row],[Position 2023]],1))</f>
        <v/>
      </c>
      <c r="N158" s="56" t="e">
        <f>IF(ISNA(Tableau6[[#This Row],[Position 2023]]),Tableau6[[#This Row],[Position 2023]],Tableau6[[#This Row],[2023]]-M$2)</f>
        <v>#N/A</v>
      </c>
      <c r="O158" s="35" t="e">
        <f>Tableau6[[#This Row],[Cumul 2023]]-Tableau6[[#This Row],[Cumul 2022]]</f>
        <v>#N/A</v>
      </c>
      <c r="P158" s="37" t="e">
        <f>Tableau6[[#This Row],[Ecart 2022 2023]]/Tableau6[[#This Row],[Cumul 2022]]</f>
        <v>#N/A</v>
      </c>
      <c r="Q158" s="35" t="e">
        <f>MATCH(Tableau6[Jours Mois]&amp;"/"&amp;Tableau6[[#Headers],[2024]],tabSuiviConso[Jour Mois Année],0)</f>
        <v>#N/A</v>
      </c>
      <c r="R158" s="35" t="str">
        <f>IF(ISNA(Tableau6[[#This Row],[Position 2024]]),"",INDEX(tabSuiviConso[HP + HC
cumul],Tableau6[[#This Row],[Position 2024]],1))</f>
        <v/>
      </c>
      <c r="S158" s="56" t="e">
        <f>IF(ISNA(Tableau6[[#This Row],[Position 2024]]),Tableau6[[#This Row],[Position 2024]],Tableau6[[#This Row],[2024]]-R$2)</f>
        <v>#N/A</v>
      </c>
      <c r="T158" s="35" t="e">
        <f>Tableau6[[#This Row],[Cumul 2024]]-Tableau6[[#This Row],[Cumul 2023]]</f>
        <v>#N/A</v>
      </c>
      <c r="U158" s="36" t="e">
        <f>Tableau6[[#This Row],[Ecart 2023 2024]]/Tableau6[[#This Row],[Cumul 2023]]</f>
        <v>#N/A</v>
      </c>
    </row>
    <row r="159" spans="1:21" x14ac:dyDescent="0.2">
      <c r="A159" s="35">
        <v>6</v>
      </c>
      <c r="B159" s="35">
        <v>5</v>
      </c>
      <c r="C159" s="35" t="str">
        <f>Tableau6[Jour]&amp;"/"&amp;Tableau6[Mois]</f>
        <v>5/6</v>
      </c>
      <c r="D159" s="35" t="e">
        <f>MATCH(Tableau6[Jours Mois]&amp;"/"&amp;Tableau6[[#Headers],[2021]],tabSuiviConso[Jour Mois Année],0)</f>
        <v>#N/A</v>
      </c>
      <c r="E159" s="35" t="str">
        <f>IF(ISNA(Tableau6[[#This Row],[Position 2021]]),"",INDEX(tabSuiviConso[HP + HC
cumul],Tableau6[[#This Row],[Position 2021]],1))</f>
        <v/>
      </c>
      <c r="F159" s="56" t="e">
        <f>IF(ISNA(Tableau6[[#This Row],[Position 2021]]),Tableau6[[#This Row],[Position 2021]],Tableau6[[#This Row],[2021]]-E$2)</f>
        <v>#N/A</v>
      </c>
      <c r="G159" s="35" t="e">
        <f>MATCH(Tableau6[Jours Mois]&amp;"/"&amp;Tableau6[[#Headers],[2022]],tabSuiviConso[Jour Mois Année],0)</f>
        <v>#N/A</v>
      </c>
      <c r="H159" s="35" t="str">
        <f>IF(ISNA(Tableau6[[#This Row],[Position 2022]]),"",INDEX(tabSuiviConso[HP + HC
cumul],Tableau6[[#This Row],[Position 2022]],1))</f>
        <v/>
      </c>
      <c r="I159" s="56" t="e">
        <f>IF(ISNA(Tableau6[[#This Row],[Position 2022]]),Tableau6[[#This Row],[Position 2022]],Tableau6[[#This Row],[2022]]-H$2)</f>
        <v>#N/A</v>
      </c>
      <c r="J159" s="35" t="e">
        <f>MATCH(Tableau6[Jours Mois]&amp;"/"&amp;Tableau6[[#Headers],[2023]],tabSuiviConso[Jour Mois Année],0)</f>
        <v>#N/A</v>
      </c>
      <c r="K159" s="35" t="e">
        <f>Tableau6[[#This Row],[Cumul 2022]]-Tableau6[[#This Row],[Cumul 2021]]</f>
        <v>#N/A</v>
      </c>
      <c r="L159" s="37" t="e">
        <f>Tableau6[[#This Row],[Ecart 2021 2022]]/Tableau6[[#This Row],[Cumul 2021]]</f>
        <v>#N/A</v>
      </c>
      <c r="M159" s="35" t="str">
        <f>IF(ISNA(Tableau6[[#This Row],[Position 2023]]),"",INDEX(tabSuiviConso[HP + HC
cumul],Tableau6[[#This Row],[Position 2023]],1))</f>
        <v/>
      </c>
      <c r="N159" s="56" t="e">
        <f>IF(ISNA(Tableau6[[#This Row],[Position 2023]]),Tableau6[[#This Row],[Position 2023]],Tableau6[[#This Row],[2023]]-M$2)</f>
        <v>#N/A</v>
      </c>
      <c r="O159" s="35" t="e">
        <f>Tableau6[[#This Row],[Cumul 2023]]-Tableau6[[#This Row],[Cumul 2022]]</f>
        <v>#N/A</v>
      </c>
      <c r="P159" s="37" t="e">
        <f>Tableau6[[#This Row],[Ecart 2022 2023]]/Tableau6[[#This Row],[Cumul 2022]]</f>
        <v>#N/A</v>
      </c>
      <c r="Q159" s="35" t="e">
        <f>MATCH(Tableau6[Jours Mois]&amp;"/"&amp;Tableau6[[#Headers],[2024]],tabSuiviConso[Jour Mois Année],0)</f>
        <v>#N/A</v>
      </c>
      <c r="R159" s="35" t="str">
        <f>IF(ISNA(Tableau6[[#This Row],[Position 2024]]),"",INDEX(tabSuiviConso[HP + HC
cumul],Tableau6[[#This Row],[Position 2024]],1))</f>
        <v/>
      </c>
      <c r="S159" s="56" t="e">
        <f>IF(ISNA(Tableau6[[#This Row],[Position 2024]]),Tableau6[[#This Row],[Position 2024]],Tableau6[[#This Row],[2024]]-R$2)</f>
        <v>#N/A</v>
      </c>
      <c r="T159" s="35" t="e">
        <f>Tableau6[[#This Row],[Cumul 2024]]-Tableau6[[#This Row],[Cumul 2023]]</f>
        <v>#N/A</v>
      </c>
      <c r="U159" s="36" t="e">
        <f>Tableau6[[#This Row],[Ecart 2023 2024]]/Tableau6[[#This Row],[Cumul 2023]]</f>
        <v>#N/A</v>
      </c>
    </row>
    <row r="160" spans="1:21" x14ac:dyDescent="0.2">
      <c r="A160" s="35">
        <v>6</v>
      </c>
      <c r="B160" s="35">
        <v>6</v>
      </c>
      <c r="C160" s="35" t="str">
        <f>Tableau6[Jour]&amp;"/"&amp;Tableau6[Mois]</f>
        <v>6/6</v>
      </c>
      <c r="D160" s="35" t="e">
        <f>MATCH(Tableau6[Jours Mois]&amp;"/"&amp;Tableau6[[#Headers],[2021]],tabSuiviConso[Jour Mois Année],0)</f>
        <v>#N/A</v>
      </c>
      <c r="E160" s="35" t="str">
        <f>IF(ISNA(Tableau6[[#This Row],[Position 2021]]),"",INDEX(tabSuiviConso[HP + HC
cumul],Tableau6[[#This Row],[Position 2021]],1))</f>
        <v/>
      </c>
      <c r="F160" s="56" t="e">
        <f>IF(ISNA(Tableau6[[#This Row],[Position 2021]]),Tableau6[[#This Row],[Position 2021]],Tableau6[[#This Row],[2021]]-E$2)</f>
        <v>#N/A</v>
      </c>
      <c r="G160" s="35" t="e">
        <f>MATCH(Tableau6[Jours Mois]&amp;"/"&amp;Tableau6[[#Headers],[2022]],tabSuiviConso[Jour Mois Année],0)</f>
        <v>#N/A</v>
      </c>
      <c r="H160" s="35" t="str">
        <f>IF(ISNA(Tableau6[[#This Row],[Position 2022]]),"",INDEX(tabSuiviConso[HP + HC
cumul],Tableau6[[#This Row],[Position 2022]],1))</f>
        <v/>
      </c>
      <c r="I160" s="56" t="e">
        <f>IF(ISNA(Tableau6[[#This Row],[Position 2022]]),Tableau6[[#This Row],[Position 2022]],Tableau6[[#This Row],[2022]]-H$2)</f>
        <v>#N/A</v>
      </c>
      <c r="J160" s="35" t="e">
        <f>MATCH(Tableau6[Jours Mois]&amp;"/"&amp;Tableau6[[#Headers],[2023]],tabSuiviConso[Jour Mois Année],0)</f>
        <v>#N/A</v>
      </c>
      <c r="K160" s="35" t="e">
        <f>Tableau6[[#This Row],[Cumul 2022]]-Tableau6[[#This Row],[Cumul 2021]]</f>
        <v>#N/A</v>
      </c>
      <c r="L160" s="37" t="e">
        <f>Tableau6[[#This Row],[Ecart 2021 2022]]/Tableau6[[#This Row],[Cumul 2021]]</f>
        <v>#N/A</v>
      </c>
      <c r="M160" s="35" t="str">
        <f>IF(ISNA(Tableau6[[#This Row],[Position 2023]]),"",INDEX(tabSuiviConso[HP + HC
cumul],Tableau6[[#This Row],[Position 2023]],1))</f>
        <v/>
      </c>
      <c r="N160" s="56" t="e">
        <f>IF(ISNA(Tableau6[[#This Row],[Position 2023]]),Tableau6[[#This Row],[Position 2023]],Tableau6[[#This Row],[2023]]-M$2)</f>
        <v>#N/A</v>
      </c>
      <c r="O160" s="35" t="e">
        <f>Tableau6[[#This Row],[Cumul 2023]]-Tableau6[[#This Row],[Cumul 2022]]</f>
        <v>#N/A</v>
      </c>
      <c r="P160" s="37" t="e">
        <f>Tableau6[[#This Row],[Ecart 2022 2023]]/Tableau6[[#This Row],[Cumul 2022]]</f>
        <v>#N/A</v>
      </c>
      <c r="Q160" s="35" t="e">
        <f>MATCH(Tableau6[Jours Mois]&amp;"/"&amp;Tableau6[[#Headers],[2024]],tabSuiviConso[Jour Mois Année],0)</f>
        <v>#N/A</v>
      </c>
      <c r="R160" s="35" t="str">
        <f>IF(ISNA(Tableau6[[#This Row],[Position 2024]]),"",INDEX(tabSuiviConso[HP + HC
cumul],Tableau6[[#This Row],[Position 2024]],1))</f>
        <v/>
      </c>
      <c r="S160" s="56" t="e">
        <f>IF(ISNA(Tableau6[[#This Row],[Position 2024]]),Tableau6[[#This Row],[Position 2024]],Tableau6[[#This Row],[2024]]-R$2)</f>
        <v>#N/A</v>
      </c>
      <c r="T160" s="35" t="e">
        <f>Tableau6[[#This Row],[Cumul 2024]]-Tableau6[[#This Row],[Cumul 2023]]</f>
        <v>#N/A</v>
      </c>
      <c r="U160" s="36" t="e">
        <f>Tableau6[[#This Row],[Ecart 2023 2024]]/Tableau6[[#This Row],[Cumul 2023]]</f>
        <v>#N/A</v>
      </c>
    </row>
    <row r="161" spans="1:21" x14ac:dyDescent="0.2">
      <c r="A161" s="35">
        <v>6</v>
      </c>
      <c r="B161" s="35">
        <v>7</v>
      </c>
      <c r="C161" s="35" t="str">
        <f>Tableau6[Jour]&amp;"/"&amp;Tableau6[Mois]</f>
        <v>7/6</v>
      </c>
      <c r="D161" s="35" t="e">
        <f>MATCH(Tableau6[Jours Mois]&amp;"/"&amp;Tableau6[[#Headers],[2021]],tabSuiviConso[Jour Mois Année],0)</f>
        <v>#N/A</v>
      </c>
      <c r="E161" s="35" t="str">
        <f>IF(ISNA(Tableau6[[#This Row],[Position 2021]]),"",INDEX(tabSuiviConso[HP + HC
cumul],Tableau6[[#This Row],[Position 2021]],1))</f>
        <v/>
      </c>
      <c r="F161" s="56" t="e">
        <f>IF(ISNA(Tableau6[[#This Row],[Position 2021]]),Tableau6[[#This Row],[Position 2021]],Tableau6[[#This Row],[2021]]-E$2)</f>
        <v>#N/A</v>
      </c>
      <c r="G161" s="35" t="e">
        <f>MATCH(Tableau6[Jours Mois]&amp;"/"&amp;Tableau6[[#Headers],[2022]],tabSuiviConso[Jour Mois Année],0)</f>
        <v>#N/A</v>
      </c>
      <c r="H161" s="35" t="str">
        <f>IF(ISNA(Tableau6[[#This Row],[Position 2022]]),"",INDEX(tabSuiviConso[HP + HC
cumul],Tableau6[[#This Row],[Position 2022]],1))</f>
        <v/>
      </c>
      <c r="I161" s="56" t="e">
        <f>IF(ISNA(Tableau6[[#This Row],[Position 2022]]),Tableau6[[#This Row],[Position 2022]],Tableau6[[#This Row],[2022]]-H$2)</f>
        <v>#N/A</v>
      </c>
      <c r="J161" s="35" t="e">
        <f>MATCH(Tableau6[Jours Mois]&amp;"/"&amp;Tableau6[[#Headers],[2023]],tabSuiviConso[Jour Mois Année],0)</f>
        <v>#N/A</v>
      </c>
      <c r="K161" s="35" t="e">
        <f>Tableau6[[#This Row],[Cumul 2022]]-Tableau6[[#This Row],[Cumul 2021]]</f>
        <v>#N/A</v>
      </c>
      <c r="L161" s="37" t="e">
        <f>Tableau6[[#This Row],[Ecart 2021 2022]]/Tableau6[[#This Row],[Cumul 2021]]</f>
        <v>#N/A</v>
      </c>
      <c r="M161" s="35" t="str">
        <f>IF(ISNA(Tableau6[[#This Row],[Position 2023]]),"",INDEX(tabSuiviConso[HP + HC
cumul],Tableau6[[#This Row],[Position 2023]],1))</f>
        <v/>
      </c>
      <c r="N161" s="56" t="e">
        <f>IF(ISNA(Tableau6[[#This Row],[Position 2023]]),Tableau6[[#This Row],[Position 2023]],Tableau6[[#This Row],[2023]]-M$2)</f>
        <v>#N/A</v>
      </c>
      <c r="O161" s="35" t="e">
        <f>Tableau6[[#This Row],[Cumul 2023]]-Tableau6[[#This Row],[Cumul 2022]]</f>
        <v>#N/A</v>
      </c>
      <c r="P161" s="37" t="e">
        <f>Tableau6[[#This Row],[Ecart 2022 2023]]/Tableau6[[#This Row],[Cumul 2022]]</f>
        <v>#N/A</v>
      </c>
      <c r="Q161" s="35" t="e">
        <f>MATCH(Tableau6[Jours Mois]&amp;"/"&amp;Tableau6[[#Headers],[2024]],tabSuiviConso[Jour Mois Année],0)</f>
        <v>#N/A</v>
      </c>
      <c r="R161" s="35" t="str">
        <f>IF(ISNA(Tableau6[[#This Row],[Position 2024]]),"",INDEX(tabSuiviConso[HP + HC
cumul],Tableau6[[#This Row],[Position 2024]],1))</f>
        <v/>
      </c>
      <c r="S161" s="56" t="e">
        <f>IF(ISNA(Tableau6[[#This Row],[Position 2024]]),Tableau6[[#This Row],[Position 2024]],Tableau6[[#This Row],[2024]]-R$2)</f>
        <v>#N/A</v>
      </c>
      <c r="T161" s="35" t="e">
        <f>Tableau6[[#This Row],[Cumul 2024]]-Tableau6[[#This Row],[Cumul 2023]]</f>
        <v>#N/A</v>
      </c>
      <c r="U161" s="36" t="e">
        <f>Tableau6[[#This Row],[Ecart 2023 2024]]/Tableau6[[#This Row],[Cumul 2023]]</f>
        <v>#N/A</v>
      </c>
    </row>
    <row r="162" spans="1:21" x14ac:dyDescent="0.2">
      <c r="A162" s="35">
        <v>6</v>
      </c>
      <c r="B162" s="35">
        <v>8</v>
      </c>
      <c r="C162" s="35" t="str">
        <f>Tableau6[Jour]&amp;"/"&amp;Tableau6[Mois]</f>
        <v>8/6</v>
      </c>
      <c r="D162" s="35" t="e">
        <f>MATCH(Tableau6[Jours Mois]&amp;"/"&amp;Tableau6[[#Headers],[2021]],tabSuiviConso[Jour Mois Année],0)</f>
        <v>#N/A</v>
      </c>
      <c r="E162" s="35" t="str">
        <f>IF(ISNA(Tableau6[[#This Row],[Position 2021]]),"",INDEX(tabSuiviConso[HP + HC
cumul],Tableau6[[#This Row],[Position 2021]],1))</f>
        <v/>
      </c>
      <c r="F162" s="56" t="e">
        <f>IF(ISNA(Tableau6[[#This Row],[Position 2021]]),Tableau6[[#This Row],[Position 2021]],Tableau6[[#This Row],[2021]]-E$2)</f>
        <v>#N/A</v>
      </c>
      <c r="G162" s="35" t="e">
        <f>MATCH(Tableau6[Jours Mois]&amp;"/"&amp;Tableau6[[#Headers],[2022]],tabSuiviConso[Jour Mois Année],0)</f>
        <v>#N/A</v>
      </c>
      <c r="H162" s="35" t="str">
        <f>IF(ISNA(Tableau6[[#This Row],[Position 2022]]),"",INDEX(tabSuiviConso[HP + HC
cumul],Tableau6[[#This Row],[Position 2022]],1))</f>
        <v/>
      </c>
      <c r="I162" s="56" t="e">
        <f>IF(ISNA(Tableau6[[#This Row],[Position 2022]]),Tableau6[[#This Row],[Position 2022]],Tableau6[[#This Row],[2022]]-H$2)</f>
        <v>#N/A</v>
      </c>
      <c r="J162" s="35" t="e">
        <f>MATCH(Tableau6[Jours Mois]&amp;"/"&amp;Tableau6[[#Headers],[2023]],tabSuiviConso[Jour Mois Année],0)</f>
        <v>#N/A</v>
      </c>
      <c r="K162" s="35" t="e">
        <f>Tableau6[[#This Row],[Cumul 2022]]-Tableau6[[#This Row],[Cumul 2021]]</f>
        <v>#N/A</v>
      </c>
      <c r="L162" s="37" t="e">
        <f>Tableau6[[#This Row],[Ecart 2021 2022]]/Tableau6[[#This Row],[Cumul 2021]]</f>
        <v>#N/A</v>
      </c>
      <c r="M162" s="35" t="str">
        <f>IF(ISNA(Tableau6[[#This Row],[Position 2023]]),"",INDEX(tabSuiviConso[HP + HC
cumul],Tableau6[[#This Row],[Position 2023]],1))</f>
        <v/>
      </c>
      <c r="N162" s="56" t="e">
        <f>IF(ISNA(Tableau6[[#This Row],[Position 2023]]),Tableau6[[#This Row],[Position 2023]],Tableau6[[#This Row],[2023]]-M$2)</f>
        <v>#N/A</v>
      </c>
      <c r="O162" s="35" t="e">
        <f>Tableau6[[#This Row],[Cumul 2023]]-Tableau6[[#This Row],[Cumul 2022]]</f>
        <v>#N/A</v>
      </c>
      <c r="P162" s="37" t="e">
        <f>Tableau6[[#This Row],[Ecart 2022 2023]]/Tableau6[[#This Row],[Cumul 2022]]</f>
        <v>#N/A</v>
      </c>
      <c r="Q162" s="35" t="e">
        <f>MATCH(Tableau6[Jours Mois]&amp;"/"&amp;Tableau6[[#Headers],[2024]],tabSuiviConso[Jour Mois Année],0)</f>
        <v>#N/A</v>
      </c>
      <c r="R162" s="35" t="str">
        <f>IF(ISNA(Tableau6[[#This Row],[Position 2024]]),"",INDEX(tabSuiviConso[HP + HC
cumul],Tableau6[[#This Row],[Position 2024]],1))</f>
        <v/>
      </c>
      <c r="S162" s="56" t="e">
        <f>IF(ISNA(Tableau6[[#This Row],[Position 2024]]),Tableau6[[#This Row],[Position 2024]],Tableau6[[#This Row],[2024]]-R$2)</f>
        <v>#N/A</v>
      </c>
      <c r="T162" s="35" t="e">
        <f>Tableau6[[#This Row],[Cumul 2024]]-Tableau6[[#This Row],[Cumul 2023]]</f>
        <v>#N/A</v>
      </c>
      <c r="U162" s="36" t="e">
        <f>Tableau6[[#This Row],[Ecart 2023 2024]]/Tableau6[[#This Row],[Cumul 2023]]</f>
        <v>#N/A</v>
      </c>
    </row>
    <row r="163" spans="1:21" x14ac:dyDescent="0.2">
      <c r="A163" s="35">
        <v>6</v>
      </c>
      <c r="B163" s="35">
        <v>9</v>
      </c>
      <c r="C163" s="35" t="str">
        <f>Tableau6[Jour]&amp;"/"&amp;Tableau6[Mois]</f>
        <v>9/6</v>
      </c>
      <c r="D163" s="35" t="e">
        <f>MATCH(Tableau6[Jours Mois]&amp;"/"&amp;Tableau6[[#Headers],[2021]],tabSuiviConso[Jour Mois Année],0)</f>
        <v>#N/A</v>
      </c>
      <c r="E163" s="35" t="str">
        <f>IF(ISNA(Tableau6[[#This Row],[Position 2021]]),"",INDEX(tabSuiviConso[HP + HC
cumul],Tableau6[[#This Row],[Position 2021]],1))</f>
        <v/>
      </c>
      <c r="F163" s="56" t="e">
        <f>IF(ISNA(Tableau6[[#This Row],[Position 2021]]),Tableau6[[#This Row],[Position 2021]],Tableau6[[#This Row],[2021]]-E$2)</f>
        <v>#N/A</v>
      </c>
      <c r="G163" s="35" t="e">
        <f>MATCH(Tableau6[Jours Mois]&amp;"/"&amp;Tableau6[[#Headers],[2022]],tabSuiviConso[Jour Mois Année],0)</f>
        <v>#N/A</v>
      </c>
      <c r="H163" s="35" t="str">
        <f>IF(ISNA(Tableau6[[#This Row],[Position 2022]]),"",INDEX(tabSuiviConso[HP + HC
cumul],Tableau6[[#This Row],[Position 2022]],1))</f>
        <v/>
      </c>
      <c r="I163" s="56" t="e">
        <f>IF(ISNA(Tableau6[[#This Row],[Position 2022]]),Tableau6[[#This Row],[Position 2022]],Tableau6[[#This Row],[2022]]-H$2)</f>
        <v>#N/A</v>
      </c>
      <c r="J163" s="35" t="e">
        <f>MATCH(Tableau6[Jours Mois]&amp;"/"&amp;Tableau6[[#Headers],[2023]],tabSuiviConso[Jour Mois Année],0)</f>
        <v>#N/A</v>
      </c>
      <c r="K163" s="35" t="e">
        <f>Tableau6[[#This Row],[Cumul 2022]]-Tableau6[[#This Row],[Cumul 2021]]</f>
        <v>#N/A</v>
      </c>
      <c r="L163" s="37" t="e">
        <f>Tableau6[[#This Row],[Ecart 2021 2022]]/Tableau6[[#This Row],[Cumul 2021]]</f>
        <v>#N/A</v>
      </c>
      <c r="M163" s="35" t="str">
        <f>IF(ISNA(Tableau6[[#This Row],[Position 2023]]),"",INDEX(tabSuiviConso[HP + HC
cumul],Tableau6[[#This Row],[Position 2023]],1))</f>
        <v/>
      </c>
      <c r="N163" s="56" t="e">
        <f>IF(ISNA(Tableau6[[#This Row],[Position 2023]]),Tableau6[[#This Row],[Position 2023]],Tableau6[[#This Row],[2023]]-M$2)</f>
        <v>#N/A</v>
      </c>
      <c r="O163" s="35" t="e">
        <f>Tableau6[[#This Row],[Cumul 2023]]-Tableau6[[#This Row],[Cumul 2022]]</f>
        <v>#N/A</v>
      </c>
      <c r="P163" s="37" t="e">
        <f>Tableau6[[#This Row],[Ecart 2022 2023]]/Tableau6[[#This Row],[Cumul 2022]]</f>
        <v>#N/A</v>
      </c>
      <c r="Q163" s="35" t="e">
        <f>MATCH(Tableau6[Jours Mois]&amp;"/"&amp;Tableau6[[#Headers],[2024]],tabSuiviConso[Jour Mois Année],0)</f>
        <v>#N/A</v>
      </c>
      <c r="R163" s="35" t="str">
        <f>IF(ISNA(Tableau6[[#This Row],[Position 2024]]),"",INDEX(tabSuiviConso[HP + HC
cumul],Tableau6[[#This Row],[Position 2024]],1))</f>
        <v/>
      </c>
      <c r="S163" s="56" t="e">
        <f>IF(ISNA(Tableau6[[#This Row],[Position 2024]]),Tableau6[[#This Row],[Position 2024]],Tableau6[[#This Row],[2024]]-R$2)</f>
        <v>#N/A</v>
      </c>
      <c r="T163" s="35" t="e">
        <f>Tableau6[[#This Row],[Cumul 2024]]-Tableau6[[#This Row],[Cumul 2023]]</f>
        <v>#N/A</v>
      </c>
      <c r="U163" s="36" t="e">
        <f>Tableau6[[#This Row],[Ecart 2023 2024]]/Tableau6[[#This Row],[Cumul 2023]]</f>
        <v>#N/A</v>
      </c>
    </row>
    <row r="164" spans="1:21" x14ac:dyDescent="0.2">
      <c r="A164" s="35">
        <v>6</v>
      </c>
      <c r="B164" s="35">
        <v>10</v>
      </c>
      <c r="C164" s="35" t="str">
        <f>Tableau6[Jour]&amp;"/"&amp;Tableau6[Mois]</f>
        <v>10/6</v>
      </c>
      <c r="D164" s="35" t="e">
        <f>MATCH(Tableau6[Jours Mois]&amp;"/"&amp;Tableau6[[#Headers],[2021]],tabSuiviConso[Jour Mois Année],0)</f>
        <v>#N/A</v>
      </c>
      <c r="E164" s="35" t="str">
        <f>IF(ISNA(Tableau6[[#This Row],[Position 2021]]),"",INDEX(tabSuiviConso[HP + HC
cumul],Tableau6[[#This Row],[Position 2021]],1))</f>
        <v/>
      </c>
      <c r="F164" s="56" t="e">
        <f>IF(ISNA(Tableau6[[#This Row],[Position 2021]]),Tableau6[[#This Row],[Position 2021]],Tableau6[[#This Row],[2021]]-E$2)</f>
        <v>#N/A</v>
      </c>
      <c r="G164" s="35" t="e">
        <f>MATCH(Tableau6[Jours Mois]&amp;"/"&amp;Tableau6[[#Headers],[2022]],tabSuiviConso[Jour Mois Année],0)</f>
        <v>#N/A</v>
      </c>
      <c r="H164" s="35" t="str">
        <f>IF(ISNA(Tableau6[[#This Row],[Position 2022]]),"",INDEX(tabSuiviConso[HP + HC
cumul],Tableau6[[#This Row],[Position 2022]],1))</f>
        <v/>
      </c>
      <c r="I164" s="56" t="e">
        <f>IF(ISNA(Tableau6[[#This Row],[Position 2022]]),Tableau6[[#This Row],[Position 2022]],Tableau6[[#This Row],[2022]]-H$2)</f>
        <v>#N/A</v>
      </c>
      <c r="J164" s="35" t="e">
        <f>MATCH(Tableau6[Jours Mois]&amp;"/"&amp;Tableau6[[#Headers],[2023]],tabSuiviConso[Jour Mois Année],0)</f>
        <v>#N/A</v>
      </c>
      <c r="K164" s="35" t="e">
        <f>Tableau6[[#This Row],[Cumul 2022]]-Tableau6[[#This Row],[Cumul 2021]]</f>
        <v>#N/A</v>
      </c>
      <c r="L164" s="37" t="e">
        <f>Tableau6[[#This Row],[Ecart 2021 2022]]/Tableau6[[#This Row],[Cumul 2021]]</f>
        <v>#N/A</v>
      </c>
      <c r="M164" s="35" t="str">
        <f>IF(ISNA(Tableau6[[#This Row],[Position 2023]]),"",INDEX(tabSuiviConso[HP + HC
cumul],Tableau6[[#This Row],[Position 2023]],1))</f>
        <v/>
      </c>
      <c r="N164" s="56" t="e">
        <f>IF(ISNA(Tableau6[[#This Row],[Position 2023]]),Tableau6[[#This Row],[Position 2023]],Tableau6[[#This Row],[2023]]-M$2)</f>
        <v>#N/A</v>
      </c>
      <c r="O164" s="35" t="e">
        <f>Tableau6[[#This Row],[Cumul 2023]]-Tableau6[[#This Row],[Cumul 2022]]</f>
        <v>#N/A</v>
      </c>
      <c r="P164" s="37" t="e">
        <f>Tableau6[[#This Row],[Ecart 2022 2023]]/Tableau6[[#This Row],[Cumul 2022]]</f>
        <v>#N/A</v>
      </c>
      <c r="Q164" s="35" t="e">
        <f>MATCH(Tableau6[Jours Mois]&amp;"/"&amp;Tableau6[[#Headers],[2024]],tabSuiviConso[Jour Mois Année],0)</f>
        <v>#N/A</v>
      </c>
      <c r="R164" s="35" t="str">
        <f>IF(ISNA(Tableau6[[#This Row],[Position 2024]]),"",INDEX(tabSuiviConso[HP + HC
cumul],Tableau6[[#This Row],[Position 2024]],1))</f>
        <v/>
      </c>
      <c r="S164" s="56" t="e">
        <f>IF(ISNA(Tableau6[[#This Row],[Position 2024]]),Tableau6[[#This Row],[Position 2024]],Tableau6[[#This Row],[2024]]-R$2)</f>
        <v>#N/A</v>
      </c>
      <c r="T164" s="35" t="e">
        <f>Tableau6[[#This Row],[Cumul 2024]]-Tableau6[[#This Row],[Cumul 2023]]</f>
        <v>#N/A</v>
      </c>
      <c r="U164" s="36" t="e">
        <f>Tableau6[[#This Row],[Ecart 2023 2024]]/Tableau6[[#This Row],[Cumul 2023]]</f>
        <v>#N/A</v>
      </c>
    </row>
    <row r="165" spans="1:21" x14ac:dyDescent="0.2">
      <c r="A165" s="35">
        <v>6</v>
      </c>
      <c r="B165" s="35">
        <v>11</v>
      </c>
      <c r="C165" s="35" t="str">
        <f>Tableau6[Jour]&amp;"/"&amp;Tableau6[Mois]</f>
        <v>11/6</v>
      </c>
      <c r="D165" s="35" t="e">
        <f>MATCH(Tableau6[Jours Mois]&amp;"/"&amp;Tableau6[[#Headers],[2021]],tabSuiviConso[Jour Mois Année],0)</f>
        <v>#N/A</v>
      </c>
      <c r="E165" s="35" t="str">
        <f>IF(ISNA(Tableau6[[#This Row],[Position 2021]]),"",INDEX(tabSuiviConso[HP + HC
cumul],Tableau6[[#This Row],[Position 2021]],1))</f>
        <v/>
      </c>
      <c r="F165" s="56" t="e">
        <f>IF(ISNA(Tableau6[[#This Row],[Position 2021]]),Tableau6[[#This Row],[Position 2021]],Tableau6[[#This Row],[2021]]-E$2)</f>
        <v>#N/A</v>
      </c>
      <c r="G165" s="35" t="e">
        <f>MATCH(Tableau6[Jours Mois]&amp;"/"&amp;Tableau6[[#Headers],[2022]],tabSuiviConso[Jour Mois Année],0)</f>
        <v>#N/A</v>
      </c>
      <c r="H165" s="35" t="str">
        <f>IF(ISNA(Tableau6[[#This Row],[Position 2022]]),"",INDEX(tabSuiviConso[HP + HC
cumul],Tableau6[[#This Row],[Position 2022]],1))</f>
        <v/>
      </c>
      <c r="I165" s="56" t="e">
        <f>IF(ISNA(Tableau6[[#This Row],[Position 2022]]),Tableau6[[#This Row],[Position 2022]],Tableau6[[#This Row],[2022]]-H$2)</f>
        <v>#N/A</v>
      </c>
      <c r="J165" s="35" t="e">
        <f>MATCH(Tableau6[Jours Mois]&amp;"/"&amp;Tableau6[[#Headers],[2023]],tabSuiviConso[Jour Mois Année],0)</f>
        <v>#N/A</v>
      </c>
      <c r="K165" s="35" t="e">
        <f>Tableau6[[#This Row],[Cumul 2022]]-Tableau6[[#This Row],[Cumul 2021]]</f>
        <v>#N/A</v>
      </c>
      <c r="L165" s="37" t="e">
        <f>Tableau6[[#This Row],[Ecart 2021 2022]]/Tableau6[[#This Row],[Cumul 2021]]</f>
        <v>#N/A</v>
      </c>
      <c r="M165" s="35" t="str">
        <f>IF(ISNA(Tableau6[[#This Row],[Position 2023]]),"",INDEX(tabSuiviConso[HP + HC
cumul],Tableau6[[#This Row],[Position 2023]],1))</f>
        <v/>
      </c>
      <c r="N165" s="56" t="e">
        <f>IF(ISNA(Tableau6[[#This Row],[Position 2023]]),Tableau6[[#This Row],[Position 2023]],Tableau6[[#This Row],[2023]]-M$2)</f>
        <v>#N/A</v>
      </c>
      <c r="O165" s="35" t="e">
        <f>Tableau6[[#This Row],[Cumul 2023]]-Tableau6[[#This Row],[Cumul 2022]]</f>
        <v>#N/A</v>
      </c>
      <c r="P165" s="37" t="e">
        <f>Tableau6[[#This Row],[Ecart 2022 2023]]/Tableau6[[#This Row],[Cumul 2022]]</f>
        <v>#N/A</v>
      </c>
      <c r="Q165" s="35" t="e">
        <f>MATCH(Tableau6[Jours Mois]&amp;"/"&amp;Tableau6[[#Headers],[2024]],tabSuiviConso[Jour Mois Année],0)</f>
        <v>#N/A</v>
      </c>
      <c r="R165" s="35" t="str">
        <f>IF(ISNA(Tableau6[[#This Row],[Position 2024]]),"",INDEX(tabSuiviConso[HP + HC
cumul],Tableau6[[#This Row],[Position 2024]],1))</f>
        <v/>
      </c>
      <c r="S165" s="56" t="e">
        <f>IF(ISNA(Tableau6[[#This Row],[Position 2024]]),Tableau6[[#This Row],[Position 2024]],Tableau6[[#This Row],[2024]]-R$2)</f>
        <v>#N/A</v>
      </c>
      <c r="T165" s="35" t="e">
        <f>Tableau6[[#This Row],[Cumul 2024]]-Tableau6[[#This Row],[Cumul 2023]]</f>
        <v>#N/A</v>
      </c>
      <c r="U165" s="36" t="e">
        <f>Tableau6[[#This Row],[Ecart 2023 2024]]/Tableau6[[#This Row],[Cumul 2023]]</f>
        <v>#N/A</v>
      </c>
    </row>
    <row r="166" spans="1:21" x14ac:dyDescent="0.2">
      <c r="A166" s="35">
        <v>6</v>
      </c>
      <c r="B166" s="35">
        <v>12</v>
      </c>
      <c r="C166" s="35" t="str">
        <f>Tableau6[Jour]&amp;"/"&amp;Tableau6[Mois]</f>
        <v>12/6</v>
      </c>
      <c r="D166" s="35" t="e">
        <f>MATCH(Tableau6[Jours Mois]&amp;"/"&amp;Tableau6[[#Headers],[2021]],tabSuiviConso[Jour Mois Année],0)</f>
        <v>#N/A</v>
      </c>
      <c r="E166" s="35" t="str">
        <f>IF(ISNA(Tableau6[[#This Row],[Position 2021]]),"",INDEX(tabSuiviConso[HP + HC
cumul],Tableau6[[#This Row],[Position 2021]],1))</f>
        <v/>
      </c>
      <c r="F166" s="56" t="e">
        <f>IF(ISNA(Tableau6[[#This Row],[Position 2021]]),Tableau6[[#This Row],[Position 2021]],Tableau6[[#This Row],[2021]]-E$2)</f>
        <v>#N/A</v>
      </c>
      <c r="G166" s="35" t="e">
        <f>MATCH(Tableau6[Jours Mois]&amp;"/"&amp;Tableau6[[#Headers],[2022]],tabSuiviConso[Jour Mois Année],0)</f>
        <v>#N/A</v>
      </c>
      <c r="H166" s="35" t="str">
        <f>IF(ISNA(Tableau6[[#This Row],[Position 2022]]),"",INDEX(tabSuiviConso[HP + HC
cumul],Tableau6[[#This Row],[Position 2022]],1))</f>
        <v/>
      </c>
      <c r="I166" s="56" t="e">
        <f>IF(ISNA(Tableau6[[#This Row],[Position 2022]]),Tableau6[[#This Row],[Position 2022]],Tableau6[[#This Row],[2022]]-H$2)</f>
        <v>#N/A</v>
      </c>
      <c r="J166" s="35" t="e">
        <f>MATCH(Tableau6[Jours Mois]&amp;"/"&amp;Tableau6[[#Headers],[2023]],tabSuiviConso[Jour Mois Année],0)</f>
        <v>#N/A</v>
      </c>
      <c r="K166" s="35" t="e">
        <f>Tableau6[[#This Row],[Cumul 2022]]-Tableau6[[#This Row],[Cumul 2021]]</f>
        <v>#N/A</v>
      </c>
      <c r="L166" s="37" t="e">
        <f>Tableau6[[#This Row],[Ecart 2021 2022]]/Tableau6[[#This Row],[Cumul 2021]]</f>
        <v>#N/A</v>
      </c>
      <c r="M166" s="35" t="str">
        <f>IF(ISNA(Tableau6[[#This Row],[Position 2023]]),"",INDEX(tabSuiviConso[HP + HC
cumul],Tableau6[[#This Row],[Position 2023]],1))</f>
        <v/>
      </c>
      <c r="N166" s="56" t="e">
        <f>IF(ISNA(Tableau6[[#This Row],[Position 2023]]),Tableau6[[#This Row],[Position 2023]],Tableau6[[#This Row],[2023]]-M$2)</f>
        <v>#N/A</v>
      </c>
      <c r="O166" s="35" t="e">
        <f>Tableau6[[#This Row],[Cumul 2023]]-Tableau6[[#This Row],[Cumul 2022]]</f>
        <v>#N/A</v>
      </c>
      <c r="P166" s="37" t="e">
        <f>Tableau6[[#This Row],[Ecart 2022 2023]]/Tableau6[[#This Row],[Cumul 2022]]</f>
        <v>#N/A</v>
      </c>
      <c r="Q166" s="35" t="e">
        <f>MATCH(Tableau6[Jours Mois]&amp;"/"&amp;Tableau6[[#Headers],[2024]],tabSuiviConso[Jour Mois Année],0)</f>
        <v>#N/A</v>
      </c>
      <c r="R166" s="35" t="str">
        <f>IF(ISNA(Tableau6[[#This Row],[Position 2024]]),"",INDEX(tabSuiviConso[HP + HC
cumul],Tableau6[[#This Row],[Position 2024]],1))</f>
        <v/>
      </c>
      <c r="S166" s="56" t="e">
        <f>IF(ISNA(Tableau6[[#This Row],[Position 2024]]),Tableau6[[#This Row],[Position 2024]],Tableau6[[#This Row],[2024]]-R$2)</f>
        <v>#N/A</v>
      </c>
      <c r="T166" s="35" t="e">
        <f>Tableau6[[#This Row],[Cumul 2024]]-Tableau6[[#This Row],[Cumul 2023]]</f>
        <v>#N/A</v>
      </c>
      <c r="U166" s="36" t="e">
        <f>Tableau6[[#This Row],[Ecart 2023 2024]]/Tableau6[[#This Row],[Cumul 2023]]</f>
        <v>#N/A</v>
      </c>
    </row>
    <row r="167" spans="1:21" x14ac:dyDescent="0.2">
      <c r="A167" s="35">
        <v>6</v>
      </c>
      <c r="B167" s="35">
        <v>13</v>
      </c>
      <c r="C167" s="35" t="str">
        <f>Tableau6[Jour]&amp;"/"&amp;Tableau6[Mois]</f>
        <v>13/6</v>
      </c>
      <c r="D167" s="35" t="e">
        <f>MATCH(Tableau6[Jours Mois]&amp;"/"&amp;Tableau6[[#Headers],[2021]],tabSuiviConso[Jour Mois Année],0)</f>
        <v>#N/A</v>
      </c>
      <c r="E167" s="35" t="str">
        <f>IF(ISNA(Tableau6[[#This Row],[Position 2021]]),"",INDEX(tabSuiviConso[HP + HC
cumul],Tableau6[[#This Row],[Position 2021]],1))</f>
        <v/>
      </c>
      <c r="F167" s="56" t="e">
        <f>IF(ISNA(Tableau6[[#This Row],[Position 2021]]),Tableau6[[#This Row],[Position 2021]],Tableau6[[#This Row],[2021]]-E$2)</f>
        <v>#N/A</v>
      </c>
      <c r="G167" s="35" t="e">
        <f>MATCH(Tableau6[Jours Mois]&amp;"/"&amp;Tableau6[[#Headers],[2022]],tabSuiviConso[Jour Mois Année],0)</f>
        <v>#N/A</v>
      </c>
      <c r="H167" s="35" t="str">
        <f>IF(ISNA(Tableau6[[#This Row],[Position 2022]]),"",INDEX(tabSuiviConso[HP + HC
cumul],Tableau6[[#This Row],[Position 2022]],1))</f>
        <v/>
      </c>
      <c r="I167" s="56" t="e">
        <f>IF(ISNA(Tableau6[[#This Row],[Position 2022]]),Tableau6[[#This Row],[Position 2022]],Tableau6[[#This Row],[2022]]-H$2)</f>
        <v>#N/A</v>
      </c>
      <c r="J167" s="35" t="e">
        <f>MATCH(Tableau6[Jours Mois]&amp;"/"&amp;Tableau6[[#Headers],[2023]],tabSuiviConso[Jour Mois Année],0)</f>
        <v>#N/A</v>
      </c>
      <c r="K167" s="35" t="e">
        <f>Tableau6[[#This Row],[Cumul 2022]]-Tableau6[[#This Row],[Cumul 2021]]</f>
        <v>#N/A</v>
      </c>
      <c r="L167" s="37" t="e">
        <f>Tableau6[[#This Row],[Ecart 2021 2022]]/Tableau6[[#This Row],[Cumul 2021]]</f>
        <v>#N/A</v>
      </c>
      <c r="M167" s="35" t="str">
        <f>IF(ISNA(Tableau6[[#This Row],[Position 2023]]),"",INDEX(tabSuiviConso[HP + HC
cumul],Tableau6[[#This Row],[Position 2023]],1))</f>
        <v/>
      </c>
      <c r="N167" s="56" t="e">
        <f>IF(ISNA(Tableau6[[#This Row],[Position 2023]]),Tableau6[[#This Row],[Position 2023]],Tableau6[[#This Row],[2023]]-M$2)</f>
        <v>#N/A</v>
      </c>
      <c r="O167" s="35" t="e">
        <f>Tableau6[[#This Row],[Cumul 2023]]-Tableau6[[#This Row],[Cumul 2022]]</f>
        <v>#N/A</v>
      </c>
      <c r="P167" s="37" t="e">
        <f>Tableau6[[#This Row],[Ecart 2022 2023]]/Tableau6[[#This Row],[Cumul 2022]]</f>
        <v>#N/A</v>
      </c>
      <c r="Q167" s="35" t="e">
        <f>MATCH(Tableau6[Jours Mois]&amp;"/"&amp;Tableau6[[#Headers],[2024]],tabSuiviConso[Jour Mois Année],0)</f>
        <v>#N/A</v>
      </c>
      <c r="R167" s="35" t="str">
        <f>IF(ISNA(Tableau6[[#This Row],[Position 2024]]),"",INDEX(tabSuiviConso[HP + HC
cumul],Tableau6[[#This Row],[Position 2024]],1))</f>
        <v/>
      </c>
      <c r="S167" s="56" t="e">
        <f>IF(ISNA(Tableau6[[#This Row],[Position 2024]]),Tableau6[[#This Row],[Position 2024]],Tableau6[[#This Row],[2024]]-R$2)</f>
        <v>#N/A</v>
      </c>
      <c r="T167" s="35" t="e">
        <f>Tableau6[[#This Row],[Cumul 2024]]-Tableau6[[#This Row],[Cumul 2023]]</f>
        <v>#N/A</v>
      </c>
      <c r="U167" s="36" t="e">
        <f>Tableau6[[#This Row],[Ecart 2023 2024]]/Tableau6[[#This Row],[Cumul 2023]]</f>
        <v>#N/A</v>
      </c>
    </row>
    <row r="168" spans="1:21" x14ac:dyDescent="0.2">
      <c r="A168" s="35">
        <v>6</v>
      </c>
      <c r="B168" s="35">
        <v>14</v>
      </c>
      <c r="C168" s="35" t="str">
        <f>Tableau6[Jour]&amp;"/"&amp;Tableau6[Mois]</f>
        <v>14/6</v>
      </c>
      <c r="D168" s="35" t="e">
        <f>MATCH(Tableau6[Jours Mois]&amp;"/"&amp;Tableau6[[#Headers],[2021]],tabSuiviConso[Jour Mois Année],0)</f>
        <v>#N/A</v>
      </c>
      <c r="E168" s="35" t="str">
        <f>IF(ISNA(Tableau6[[#This Row],[Position 2021]]),"",INDEX(tabSuiviConso[HP + HC
cumul],Tableau6[[#This Row],[Position 2021]],1))</f>
        <v/>
      </c>
      <c r="F168" s="56" t="e">
        <f>IF(ISNA(Tableau6[[#This Row],[Position 2021]]),Tableau6[[#This Row],[Position 2021]],Tableau6[[#This Row],[2021]]-E$2)</f>
        <v>#N/A</v>
      </c>
      <c r="G168" s="35" t="e">
        <f>MATCH(Tableau6[Jours Mois]&amp;"/"&amp;Tableau6[[#Headers],[2022]],tabSuiviConso[Jour Mois Année],0)</f>
        <v>#N/A</v>
      </c>
      <c r="H168" s="35" t="str">
        <f>IF(ISNA(Tableau6[[#This Row],[Position 2022]]),"",INDEX(tabSuiviConso[HP + HC
cumul],Tableau6[[#This Row],[Position 2022]],1))</f>
        <v/>
      </c>
      <c r="I168" s="56" t="e">
        <f>IF(ISNA(Tableau6[[#This Row],[Position 2022]]),Tableau6[[#This Row],[Position 2022]],Tableau6[[#This Row],[2022]]-H$2)</f>
        <v>#N/A</v>
      </c>
      <c r="J168" s="35" t="e">
        <f>MATCH(Tableau6[Jours Mois]&amp;"/"&amp;Tableau6[[#Headers],[2023]],tabSuiviConso[Jour Mois Année],0)</f>
        <v>#N/A</v>
      </c>
      <c r="K168" s="35" t="e">
        <f>Tableau6[[#This Row],[Cumul 2022]]-Tableau6[[#This Row],[Cumul 2021]]</f>
        <v>#N/A</v>
      </c>
      <c r="L168" s="37" t="e">
        <f>Tableau6[[#This Row],[Ecart 2021 2022]]/Tableau6[[#This Row],[Cumul 2021]]</f>
        <v>#N/A</v>
      </c>
      <c r="M168" s="35" t="str">
        <f>IF(ISNA(Tableau6[[#This Row],[Position 2023]]),"",INDEX(tabSuiviConso[HP + HC
cumul],Tableau6[[#This Row],[Position 2023]],1))</f>
        <v/>
      </c>
      <c r="N168" s="56" t="e">
        <f>IF(ISNA(Tableau6[[#This Row],[Position 2023]]),Tableau6[[#This Row],[Position 2023]],Tableau6[[#This Row],[2023]]-M$2)</f>
        <v>#N/A</v>
      </c>
      <c r="O168" s="35" t="e">
        <f>Tableau6[[#This Row],[Cumul 2023]]-Tableau6[[#This Row],[Cumul 2022]]</f>
        <v>#N/A</v>
      </c>
      <c r="P168" s="37" t="e">
        <f>Tableau6[[#This Row],[Ecart 2022 2023]]/Tableau6[[#This Row],[Cumul 2022]]</f>
        <v>#N/A</v>
      </c>
      <c r="Q168" s="35" t="e">
        <f>MATCH(Tableau6[Jours Mois]&amp;"/"&amp;Tableau6[[#Headers],[2024]],tabSuiviConso[Jour Mois Année],0)</f>
        <v>#N/A</v>
      </c>
      <c r="R168" s="35" t="str">
        <f>IF(ISNA(Tableau6[[#This Row],[Position 2024]]),"",INDEX(tabSuiviConso[HP + HC
cumul],Tableau6[[#This Row],[Position 2024]],1))</f>
        <v/>
      </c>
      <c r="S168" s="56" t="e">
        <f>IF(ISNA(Tableau6[[#This Row],[Position 2024]]),Tableau6[[#This Row],[Position 2024]],Tableau6[[#This Row],[2024]]-R$2)</f>
        <v>#N/A</v>
      </c>
      <c r="T168" s="35" t="e">
        <f>Tableau6[[#This Row],[Cumul 2024]]-Tableau6[[#This Row],[Cumul 2023]]</f>
        <v>#N/A</v>
      </c>
      <c r="U168" s="36" t="e">
        <f>Tableau6[[#This Row],[Ecart 2023 2024]]/Tableau6[[#This Row],[Cumul 2023]]</f>
        <v>#N/A</v>
      </c>
    </row>
    <row r="169" spans="1:21" x14ac:dyDescent="0.2">
      <c r="A169" s="35">
        <v>6</v>
      </c>
      <c r="B169" s="35">
        <v>15</v>
      </c>
      <c r="C169" s="35" t="str">
        <f>Tableau6[Jour]&amp;"/"&amp;Tableau6[Mois]</f>
        <v>15/6</v>
      </c>
      <c r="D169" s="35" t="e">
        <f>MATCH(Tableau6[Jours Mois]&amp;"/"&amp;Tableau6[[#Headers],[2021]],tabSuiviConso[Jour Mois Année],0)</f>
        <v>#N/A</v>
      </c>
      <c r="E169" s="35" t="str">
        <f>IF(ISNA(Tableau6[[#This Row],[Position 2021]]),"",INDEX(tabSuiviConso[HP + HC
cumul],Tableau6[[#This Row],[Position 2021]],1))</f>
        <v/>
      </c>
      <c r="F169" s="56" t="e">
        <f>IF(ISNA(Tableau6[[#This Row],[Position 2021]]),Tableau6[[#This Row],[Position 2021]],Tableau6[[#This Row],[2021]]-E$2)</f>
        <v>#N/A</v>
      </c>
      <c r="G169" s="35" t="e">
        <f>MATCH(Tableau6[Jours Mois]&amp;"/"&amp;Tableau6[[#Headers],[2022]],tabSuiviConso[Jour Mois Année],0)</f>
        <v>#N/A</v>
      </c>
      <c r="H169" s="35" t="str">
        <f>IF(ISNA(Tableau6[[#This Row],[Position 2022]]),"",INDEX(tabSuiviConso[HP + HC
cumul],Tableau6[[#This Row],[Position 2022]],1))</f>
        <v/>
      </c>
      <c r="I169" s="56" t="e">
        <f>IF(ISNA(Tableau6[[#This Row],[Position 2022]]),Tableau6[[#This Row],[Position 2022]],Tableau6[[#This Row],[2022]]-H$2)</f>
        <v>#N/A</v>
      </c>
      <c r="J169" s="35" t="e">
        <f>MATCH(Tableau6[Jours Mois]&amp;"/"&amp;Tableau6[[#Headers],[2023]],tabSuiviConso[Jour Mois Année],0)</f>
        <v>#N/A</v>
      </c>
      <c r="K169" s="35" t="e">
        <f>Tableau6[[#This Row],[Cumul 2022]]-Tableau6[[#This Row],[Cumul 2021]]</f>
        <v>#N/A</v>
      </c>
      <c r="L169" s="37" t="e">
        <f>Tableau6[[#This Row],[Ecart 2021 2022]]/Tableau6[[#This Row],[Cumul 2021]]</f>
        <v>#N/A</v>
      </c>
      <c r="M169" s="35" t="str">
        <f>IF(ISNA(Tableau6[[#This Row],[Position 2023]]),"",INDEX(tabSuiviConso[HP + HC
cumul],Tableau6[[#This Row],[Position 2023]],1))</f>
        <v/>
      </c>
      <c r="N169" s="56" t="e">
        <f>IF(ISNA(Tableau6[[#This Row],[Position 2023]]),Tableau6[[#This Row],[Position 2023]],Tableau6[[#This Row],[2023]]-M$2)</f>
        <v>#N/A</v>
      </c>
      <c r="O169" s="35" t="e">
        <f>Tableau6[[#This Row],[Cumul 2023]]-Tableau6[[#This Row],[Cumul 2022]]</f>
        <v>#N/A</v>
      </c>
      <c r="P169" s="37" t="e">
        <f>Tableau6[[#This Row],[Ecart 2022 2023]]/Tableau6[[#This Row],[Cumul 2022]]</f>
        <v>#N/A</v>
      </c>
      <c r="Q169" s="35" t="e">
        <f>MATCH(Tableau6[Jours Mois]&amp;"/"&amp;Tableau6[[#Headers],[2024]],tabSuiviConso[Jour Mois Année],0)</f>
        <v>#N/A</v>
      </c>
      <c r="R169" s="35" t="str">
        <f>IF(ISNA(Tableau6[[#This Row],[Position 2024]]),"",INDEX(tabSuiviConso[HP + HC
cumul],Tableau6[[#This Row],[Position 2024]],1))</f>
        <v/>
      </c>
      <c r="S169" s="56" t="e">
        <f>IF(ISNA(Tableau6[[#This Row],[Position 2024]]),Tableau6[[#This Row],[Position 2024]],Tableau6[[#This Row],[2024]]-R$2)</f>
        <v>#N/A</v>
      </c>
      <c r="T169" s="35" t="e">
        <f>Tableau6[[#This Row],[Cumul 2024]]-Tableau6[[#This Row],[Cumul 2023]]</f>
        <v>#N/A</v>
      </c>
      <c r="U169" s="36" t="e">
        <f>Tableau6[[#This Row],[Ecart 2023 2024]]/Tableau6[[#This Row],[Cumul 2023]]</f>
        <v>#N/A</v>
      </c>
    </row>
    <row r="170" spans="1:21" x14ac:dyDescent="0.2">
      <c r="A170" s="35">
        <v>6</v>
      </c>
      <c r="B170" s="35">
        <v>16</v>
      </c>
      <c r="C170" s="35" t="str">
        <f>Tableau6[Jour]&amp;"/"&amp;Tableau6[Mois]</f>
        <v>16/6</v>
      </c>
      <c r="D170" s="35" t="e">
        <f>MATCH(Tableau6[Jours Mois]&amp;"/"&amp;Tableau6[[#Headers],[2021]],tabSuiviConso[Jour Mois Année],0)</f>
        <v>#N/A</v>
      </c>
      <c r="E170" s="35" t="str">
        <f>IF(ISNA(Tableau6[[#This Row],[Position 2021]]),"",INDEX(tabSuiviConso[HP + HC
cumul],Tableau6[[#This Row],[Position 2021]],1))</f>
        <v/>
      </c>
      <c r="F170" s="56" t="e">
        <f>IF(ISNA(Tableau6[[#This Row],[Position 2021]]),Tableau6[[#This Row],[Position 2021]],Tableau6[[#This Row],[2021]]-E$2)</f>
        <v>#N/A</v>
      </c>
      <c r="G170" s="35" t="e">
        <f>MATCH(Tableau6[Jours Mois]&amp;"/"&amp;Tableau6[[#Headers],[2022]],tabSuiviConso[Jour Mois Année],0)</f>
        <v>#N/A</v>
      </c>
      <c r="H170" s="35" t="str">
        <f>IF(ISNA(Tableau6[[#This Row],[Position 2022]]),"",INDEX(tabSuiviConso[HP + HC
cumul],Tableau6[[#This Row],[Position 2022]],1))</f>
        <v/>
      </c>
      <c r="I170" s="56" t="e">
        <f>IF(ISNA(Tableau6[[#This Row],[Position 2022]]),Tableau6[[#This Row],[Position 2022]],Tableau6[[#This Row],[2022]]-H$2)</f>
        <v>#N/A</v>
      </c>
      <c r="J170" s="35" t="e">
        <f>MATCH(Tableau6[Jours Mois]&amp;"/"&amp;Tableau6[[#Headers],[2023]],tabSuiviConso[Jour Mois Année],0)</f>
        <v>#N/A</v>
      </c>
      <c r="K170" s="35" t="e">
        <f>Tableau6[[#This Row],[Cumul 2022]]-Tableau6[[#This Row],[Cumul 2021]]</f>
        <v>#N/A</v>
      </c>
      <c r="L170" s="37" t="e">
        <f>Tableau6[[#This Row],[Ecart 2021 2022]]/Tableau6[[#This Row],[Cumul 2021]]</f>
        <v>#N/A</v>
      </c>
      <c r="M170" s="35" t="str">
        <f>IF(ISNA(Tableau6[[#This Row],[Position 2023]]),"",INDEX(tabSuiviConso[HP + HC
cumul],Tableau6[[#This Row],[Position 2023]],1))</f>
        <v/>
      </c>
      <c r="N170" s="56" t="e">
        <f>IF(ISNA(Tableau6[[#This Row],[Position 2023]]),Tableau6[[#This Row],[Position 2023]],Tableau6[[#This Row],[2023]]-M$2)</f>
        <v>#N/A</v>
      </c>
      <c r="O170" s="35" t="e">
        <f>Tableau6[[#This Row],[Cumul 2023]]-Tableau6[[#This Row],[Cumul 2022]]</f>
        <v>#N/A</v>
      </c>
      <c r="P170" s="37" t="e">
        <f>Tableau6[[#This Row],[Ecart 2022 2023]]/Tableau6[[#This Row],[Cumul 2022]]</f>
        <v>#N/A</v>
      </c>
      <c r="Q170" s="35" t="e">
        <f>MATCH(Tableau6[Jours Mois]&amp;"/"&amp;Tableau6[[#Headers],[2024]],tabSuiviConso[Jour Mois Année],0)</f>
        <v>#N/A</v>
      </c>
      <c r="R170" s="35" t="str">
        <f>IF(ISNA(Tableau6[[#This Row],[Position 2024]]),"",INDEX(tabSuiviConso[HP + HC
cumul],Tableau6[[#This Row],[Position 2024]],1))</f>
        <v/>
      </c>
      <c r="S170" s="56" t="e">
        <f>IF(ISNA(Tableau6[[#This Row],[Position 2024]]),Tableau6[[#This Row],[Position 2024]],Tableau6[[#This Row],[2024]]-R$2)</f>
        <v>#N/A</v>
      </c>
      <c r="T170" s="35" t="e">
        <f>Tableau6[[#This Row],[Cumul 2024]]-Tableau6[[#This Row],[Cumul 2023]]</f>
        <v>#N/A</v>
      </c>
      <c r="U170" s="36" t="e">
        <f>Tableau6[[#This Row],[Ecart 2023 2024]]/Tableau6[[#This Row],[Cumul 2023]]</f>
        <v>#N/A</v>
      </c>
    </row>
    <row r="171" spans="1:21" x14ac:dyDescent="0.2">
      <c r="A171" s="35">
        <v>6</v>
      </c>
      <c r="B171" s="35">
        <v>17</v>
      </c>
      <c r="C171" s="35" t="str">
        <f>Tableau6[Jour]&amp;"/"&amp;Tableau6[Mois]</f>
        <v>17/6</v>
      </c>
      <c r="D171" s="35" t="e">
        <f>MATCH(Tableau6[Jours Mois]&amp;"/"&amp;Tableau6[[#Headers],[2021]],tabSuiviConso[Jour Mois Année],0)</f>
        <v>#N/A</v>
      </c>
      <c r="E171" s="35" t="str">
        <f>IF(ISNA(Tableau6[[#This Row],[Position 2021]]),"",INDEX(tabSuiviConso[HP + HC
cumul],Tableau6[[#This Row],[Position 2021]],1))</f>
        <v/>
      </c>
      <c r="F171" s="56" t="e">
        <f>IF(ISNA(Tableau6[[#This Row],[Position 2021]]),Tableau6[[#This Row],[Position 2021]],Tableau6[[#This Row],[2021]]-E$2)</f>
        <v>#N/A</v>
      </c>
      <c r="G171" s="35" t="e">
        <f>MATCH(Tableau6[Jours Mois]&amp;"/"&amp;Tableau6[[#Headers],[2022]],tabSuiviConso[Jour Mois Année],0)</f>
        <v>#N/A</v>
      </c>
      <c r="H171" s="35" t="str">
        <f>IF(ISNA(Tableau6[[#This Row],[Position 2022]]),"",INDEX(tabSuiviConso[HP + HC
cumul],Tableau6[[#This Row],[Position 2022]],1))</f>
        <v/>
      </c>
      <c r="I171" s="56" t="e">
        <f>IF(ISNA(Tableau6[[#This Row],[Position 2022]]),Tableau6[[#This Row],[Position 2022]],Tableau6[[#This Row],[2022]]-H$2)</f>
        <v>#N/A</v>
      </c>
      <c r="J171" s="35" t="e">
        <f>MATCH(Tableau6[Jours Mois]&amp;"/"&amp;Tableau6[[#Headers],[2023]],tabSuiviConso[Jour Mois Année],0)</f>
        <v>#N/A</v>
      </c>
      <c r="K171" s="35" t="e">
        <f>Tableau6[[#This Row],[Cumul 2022]]-Tableau6[[#This Row],[Cumul 2021]]</f>
        <v>#N/A</v>
      </c>
      <c r="L171" s="37" t="e">
        <f>Tableau6[[#This Row],[Ecart 2021 2022]]/Tableau6[[#This Row],[Cumul 2021]]</f>
        <v>#N/A</v>
      </c>
      <c r="M171" s="35" t="str">
        <f>IF(ISNA(Tableau6[[#This Row],[Position 2023]]),"",INDEX(tabSuiviConso[HP + HC
cumul],Tableau6[[#This Row],[Position 2023]],1))</f>
        <v/>
      </c>
      <c r="N171" s="56" t="e">
        <f>IF(ISNA(Tableau6[[#This Row],[Position 2023]]),Tableau6[[#This Row],[Position 2023]],Tableau6[[#This Row],[2023]]-M$2)</f>
        <v>#N/A</v>
      </c>
      <c r="O171" s="35" t="e">
        <f>Tableau6[[#This Row],[Cumul 2023]]-Tableau6[[#This Row],[Cumul 2022]]</f>
        <v>#N/A</v>
      </c>
      <c r="P171" s="37" t="e">
        <f>Tableau6[[#This Row],[Ecart 2022 2023]]/Tableau6[[#This Row],[Cumul 2022]]</f>
        <v>#N/A</v>
      </c>
      <c r="Q171" s="35" t="e">
        <f>MATCH(Tableau6[Jours Mois]&amp;"/"&amp;Tableau6[[#Headers],[2024]],tabSuiviConso[Jour Mois Année],0)</f>
        <v>#N/A</v>
      </c>
      <c r="R171" s="35" t="str">
        <f>IF(ISNA(Tableau6[[#This Row],[Position 2024]]),"",INDEX(tabSuiviConso[HP + HC
cumul],Tableau6[[#This Row],[Position 2024]],1))</f>
        <v/>
      </c>
      <c r="S171" s="56" t="e">
        <f>IF(ISNA(Tableau6[[#This Row],[Position 2024]]),Tableau6[[#This Row],[Position 2024]],Tableau6[[#This Row],[2024]]-R$2)</f>
        <v>#N/A</v>
      </c>
      <c r="T171" s="35" t="e">
        <f>Tableau6[[#This Row],[Cumul 2024]]-Tableau6[[#This Row],[Cumul 2023]]</f>
        <v>#N/A</v>
      </c>
      <c r="U171" s="36" t="e">
        <f>Tableau6[[#This Row],[Ecart 2023 2024]]/Tableau6[[#This Row],[Cumul 2023]]</f>
        <v>#N/A</v>
      </c>
    </row>
    <row r="172" spans="1:21" x14ac:dyDescent="0.2">
      <c r="A172" s="35">
        <v>6</v>
      </c>
      <c r="B172" s="35">
        <v>18</v>
      </c>
      <c r="C172" s="35" t="str">
        <f>Tableau6[Jour]&amp;"/"&amp;Tableau6[Mois]</f>
        <v>18/6</v>
      </c>
      <c r="D172" s="35" t="e">
        <f>MATCH(Tableau6[Jours Mois]&amp;"/"&amp;Tableau6[[#Headers],[2021]],tabSuiviConso[Jour Mois Année],0)</f>
        <v>#N/A</v>
      </c>
      <c r="E172" s="35" t="str">
        <f>IF(ISNA(Tableau6[[#This Row],[Position 2021]]),"",INDEX(tabSuiviConso[HP + HC
cumul],Tableau6[[#This Row],[Position 2021]],1))</f>
        <v/>
      </c>
      <c r="F172" s="56" t="e">
        <f>IF(ISNA(Tableau6[[#This Row],[Position 2021]]),Tableau6[[#This Row],[Position 2021]],Tableau6[[#This Row],[2021]]-E$2)</f>
        <v>#N/A</v>
      </c>
      <c r="G172" s="35" t="e">
        <f>MATCH(Tableau6[Jours Mois]&amp;"/"&amp;Tableau6[[#Headers],[2022]],tabSuiviConso[Jour Mois Année],0)</f>
        <v>#N/A</v>
      </c>
      <c r="H172" s="35" t="str">
        <f>IF(ISNA(Tableau6[[#This Row],[Position 2022]]),"",INDEX(tabSuiviConso[HP + HC
cumul],Tableau6[[#This Row],[Position 2022]],1))</f>
        <v/>
      </c>
      <c r="I172" s="56" t="e">
        <f>IF(ISNA(Tableau6[[#This Row],[Position 2022]]),Tableau6[[#This Row],[Position 2022]],Tableau6[[#This Row],[2022]]-H$2)</f>
        <v>#N/A</v>
      </c>
      <c r="J172" s="35" t="e">
        <f>MATCH(Tableau6[Jours Mois]&amp;"/"&amp;Tableau6[[#Headers],[2023]],tabSuiviConso[Jour Mois Année],0)</f>
        <v>#N/A</v>
      </c>
      <c r="K172" s="35" t="e">
        <f>Tableau6[[#This Row],[Cumul 2022]]-Tableau6[[#This Row],[Cumul 2021]]</f>
        <v>#N/A</v>
      </c>
      <c r="L172" s="37" t="e">
        <f>Tableau6[[#This Row],[Ecart 2021 2022]]/Tableau6[[#This Row],[Cumul 2021]]</f>
        <v>#N/A</v>
      </c>
      <c r="M172" s="35" t="str">
        <f>IF(ISNA(Tableau6[[#This Row],[Position 2023]]),"",INDEX(tabSuiviConso[HP + HC
cumul],Tableau6[[#This Row],[Position 2023]],1))</f>
        <v/>
      </c>
      <c r="N172" s="56" t="e">
        <f>IF(ISNA(Tableau6[[#This Row],[Position 2023]]),Tableau6[[#This Row],[Position 2023]],Tableau6[[#This Row],[2023]]-M$2)</f>
        <v>#N/A</v>
      </c>
      <c r="O172" s="35" t="e">
        <f>Tableau6[[#This Row],[Cumul 2023]]-Tableau6[[#This Row],[Cumul 2022]]</f>
        <v>#N/A</v>
      </c>
      <c r="P172" s="37" t="e">
        <f>Tableau6[[#This Row],[Ecart 2022 2023]]/Tableau6[[#This Row],[Cumul 2022]]</f>
        <v>#N/A</v>
      </c>
      <c r="Q172" s="35" t="e">
        <f>MATCH(Tableau6[Jours Mois]&amp;"/"&amp;Tableau6[[#Headers],[2024]],tabSuiviConso[Jour Mois Année],0)</f>
        <v>#N/A</v>
      </c>
      <c r="R172" s="35" t="str">
        <f>IF(ISNA(Tableau6[[#This Row],[Position 2024]]),"",INDEX(tabSuiviConso[HP + HC
cumul],Tableau6[[#This Row],[Position 2024]],1))</f>
        <v/>
      </c>
      <c r="S172" s="56" t="e">
        <f>IF(ISNA(Tableau6[[#This Row],[Position 2024]]),Tableau6[[#This Row],[Position 2024]],Tableau6[[#This Row],[2024]]-R$2)</f>
        <v>#N/A</v>
      </c>
      <c r="T172" s="35" t="e">
        <f>Tableau6[[#This Row],[Cumul 2024]]-Tableau6[[#This Row],[Cumul 2023]]</f>
        <v>#N/A</v>
      </c>
      <c r="U172" s="36" t="e">
        <f>Tableau6[[#This Row],[Ecart 2023 2024]]/Tableau6[[#This Row],[Cumul 2023]]</f>
        <v>#N/A</v>
      </c>
    </row>
    <row r="173" spans="1:21" x14ac:dyDescent="0.2">
      <c r="A173" s="35">
        <v>6</v>
      </c>
      <c r="B173" s="35">
        <v>19</v>
      </c>
      <c r="C173" s="35" t="str">
        <f>Tableau6[Jour]&amp;"/"&amp;Tableau6[Mois]</f>
        <v>19/6</v>
      </c>
      <c r="D173" s="35" t="e">
        <f>MATCH(Tableau6[Jours Mois]&amp;"/"&amp;Tableau6[[#Headers],[2021]],tabSuiviConso[Jour Mois Année],0)</f>
        <v>#N/A</v>
      </c>
      <c r="E173" s="35" t="str">
        <f>IF(ISNA(Tableau6[[#This Row],[Position 2021]]),"",INDEX(tabSuiviConso[HP + HC
cumul],Tableau6[[#This Row],[Position 2021]],1))</f>
        <v/>
      </c>
      <c r="F173" s="56" t="e">
        <f>IF(ISNA(Tableau6[[#This Row],[Position 2021]]),Tableau6[[#This Row],[Position 2021]],Tableau6[[#This Row],[2021]]-E$2)</f>
        <v>#N/A</v>
      </c>
      <c r="G173" s="35" t="e">
        <f>MATCH(Tableau6[Jours Mois]&amp;"/"&amp;Tableau6[[#Headers],[2022]],tabSuiviConso[Jour Mois Année],0)</f>
        <v>#N/A</v>
      </c>
      <c r="H173" s="35" t="str">
        <f>IF(ISNA(Tableau6[[#This Row],[Position 2022]]),"",INDEX(tabSuiviConso[HP + HC
cumul],Tableau6[[#This Row],[Position 2022]],1))</f>
        <v/>
      </c>
      <c r="I173" s="56" t="e">
        <f>IF(ISNA(Tableau6[[#This Row],[Position 2022]]),Tableau6[[#This Row],[Position 2022]],Tableau6[[#This Row],[2022]]-H$2)</f>
        <v>#N/A</v>
      </c>
      <c r="J173" s="35" t="e">
        <f>MATCH(Tableau6[Jours Mois]&amp;"/"&amp;Tableau6[[#Headers],[2023]],tabSuiviConso[Jour Mois Année],0)</f>
        <v>#N/A</v>
      </c>
      <c r="K173" s="35" t="e">
        <f>Tableau6[[#This Row],[Cumul 2022]]-Tableau6[[#This Row],[Cumul 2021]]</f>
        <v>#N/A</v>
      </c>
      <c r="L173" s="37" t="e">
        <f>Tableau6[[#This Row],[Ecart 2021 2022]]/Tableau6[[#This Row],[Cumul 2021]]</f>
        <v>#N/A</v>
      </c>
      <c r="M173" s="35" t="str">
        <f>IF(ISNA(Tableau6[[#This Row],[Position 2023]]),"",INDEX(tabSuiviConso[HP + HC
cumul],Tableau6[[#This Row],[Position 2023]],1))</f>
        <v/>
      </c>
      <c r="N173" s="56" t="e">
        <f>IF(ISNA(Tableau6[[#This Row],[Position 2023]]),Tableau6[[#This Row],[Position 2023]],Tableau6[[#This Row],[2023]]-M$2)</f>
        <v>#N/A</v>
      </c>
      <c r="O173" s="35" t="e">
        <f>Tableau6[[#This Row],[Cumul 2023]]-Tableau6[[#This Row],[Cumul 2022]]</f>
        <v>#N/A</v>
      </c>
      <c r="P173" s="37" t="e">
        <f>Tableau6[[#This Row],[Ecart 2022 2023]]/Tableau6[[#This Row],[Cumul 2022]]</f>
        <v>#N/A</v>
      </c>
      <c r="Q173" s="35" t="e">
        <f>MATCH(Tableau6[Jours Mois]&amp;"/"&amp;Tableau6[[#Headers],[2024]],tabSuiviConso[Jour Mois Année],0)</f>
        <v>#N/A</v>
      </c>
      <c r="R173" s="35" t="str">
        <f>IF(ISNA(Tableau6[[#This Row],[Position 2024]]),"",INDEX(tabSuiviConso[HP + HC
cumul],Tableau6[[#This Row],[Position 2024]],1))</f>
        <v/>
      </c>
      <c r="S173" s="56" t="e">
        <f>IF(ISNA(Tableau6[[#This Row],[Position 2024]]),Tableau6[[#This Row],[Position 2024]],Tableau6[[#This Row],[2024]]-R$2)</f>
        <v>#N/A</v>
      </c>
      <c r="T173" s="35" t="e">
        <f>Tableau6[[#This Row],[Cumul 2024]]-Tableau6[[#This Row],[Cumul 2023]]</f>
        <v>#N/A</v>
      </c>
      <c r="U173" s="36" t="e">
        <f>Tableau6[[#This Row],[Ecart 2023 2024]]/Tableau6[[#This Row],[Cumul 2023]]</f>
        <v>#N/A</v>
      </c>
    </row>
    <row r="174" spans="1:21" x14ac:dyDescent="0.2">
      <c r="A174" s="35">
        <v>6</v>
      </c>
      <c r="B174" s="35">
        <v>20</v>
      </c>
      <c r="C174" s="35" t="str">
        <f>Tableau6[Jour]&amp;"/"&amp;Tableau6[Mois]</f>
        <v>20/6</v>
      </c>
      <c r="D174" s="35" t="e">
        <f>MATCH(Tableau6[Jours Mois]&amp;"/"&amp;Tableau6[[#Headers],[2021]],tabSuiviConso[Jour Mois Année],0)</f>
        <v>#N/A</v>
      </c>
      <c r="E174" s="35" t="str">
        <f>IF(ISNA(Tableau6[[#This Row],[Position 2021]]),"",INDEX(tabSuiviConso[HP + HC
cumul],Tableau6[[#This Row],[Position 2021]],1))</f>
        <v/>
      </c>
      <c r="F174" s="56" t="e">
        <f>IF(ISNA(Tableau6[[#This Row],[Position 2021]]),Tableau6[[#This Row],[Position 2021]],Tableau6[[#This Row],[2021]]-E$2)</f>
        <v>#N/A</v>
      </c>
      <c r="G174" s="35" t="e">
        <f>MATCH(Tableau6[Jours Mois]&amp;"/"&amp;Tableau6[[#Headers],[2022]],tabSuiviConso[Jour Mois Année],0)</f>
        <v>#N/A</v>
      </c>
      <c r="H174" s="35" t="str">
        <f>IF(ISNA(Tableau6[[#This Row],[Position 2022]]),"",INDEX(tabSuiviConso[HP + HC
cumul],Tableau6[[#This Row],[Position 2022]],1))</f>
        <v/>
      </c>
      <c r="I174" s="56" t="e">
        <f>IF(ISNA(Tableau6[[#This Row],[Position 2022]]),Tableau6[[#This Row],[Position 2022]],Tableau6[[#This Row],[2022]]-H$2)</f>
        <v>#N/A</v>
      </c>
      <c r="J174" s="35" t="e">
        <f>MATCH(Tableau6[Jours Mois]&amp;"/"&amp;Tableau6[[#Headers],[2023]],tabSuiviConso[Jour Mois Année],0)</f>
        <v>#N/A</v>
      </c>
      <c r="K174" s="35" t="e">
        <f>Tableau6[[#This Row],[Cumul 2022]]-Tableau6[[#This Row],[Cumul 2021]]</f>
        <v>#N/A</v>
      </c>
      <c r="L174" s="37" t="e">
        <f>Tableau6[[#This Row],[Ecart 2021 2022]]/Tableau6[[#This Row],[Cumul 2021]]</f>
        <v>#N/A</v>
      </c>
      <c r="M174" s="35" t="str">
        <f>IF(ISNA(Tableau6[[#This Row],[Position 2023]]),"",INDEX(tabSuiviConso[HP + HC
cumul],Tableau6[[#This Row],[Position 2023]],1))</f>
        <v/>
      </c>
      <c r="N174" s="56" t="e">
        <f>IF(ISNA(Tableau6[[#This Row],[Position 2023]]),Tableau6[[#This Row],[Position 2023]],Tableau6[[#This Row],[2023]]-M$2)</f>
        <v>#N/A</v>
      </c>
      <c r="O174" s="35" t="e">
        <f>Tableau6[[#This Row],[Cumul 2023]]-Tableau6[[#This Row],[Cumul 2022]]</f>
        <v>#N/A</v>
      </c>
      <c r="P174" s="37" t="e">
        <f>Tableau6[[#This Row],[Ecart 2022 2023]]/Tableau6[[#This Row],[Cumul 2022]]</f>
        <v>#N/A</v>
      </c>
      <c r="Q174" s="35" t="e">
        <f>MATCH(Tableau6[Jours Mois]&amp;"/"&amp;Tableau6[[#Headers],[2024]],tabSuiviConso[Jour Mois Année],0)</f>
        <v>#N/A</v>
      </c>
      <c r="R174" s="35" t="str">
        <f>IF(ISNA(Tableau6[[#This Row],[Position 2024]]),"",INDEX(tabSuiviConso[HP + HC
cumul],Tableau6[[#This Row],[Position 2024]],1))</f>
        <v/>
      </c>
      <c r="S174" s="56" t="e">
        <f>IF(ISNA(Tableau6[[#This Row],[Position 2024]]),Tableau6[[#This Row],[Position 2024]],Tableau6[[#This Row],[2024]]-R$2)</f>
        <v>#N/A</v>
      </c>
      <c r="T174" s="35" t="e">
        <f>Tableau6[[#This Row],[Cumul 2024]]-Tableau6[[#This Row],[Cumul 2023]]</f>
        <v>#N/A</v>
      </c>
      <c r="U174" s="36" t="e">
        <f>Tableau6[[#This Row],[Ecart 2023 2024]]/Tableau6[[#This Row],[Cumul 2023]]</f>
        <v>#N/A</v>
      </c>
    </row>
    <row r="175" spans="1:21" x14ac:dyDescent="0.2">
      <c r="A175" s="35">
        <v>6</v>
      </c>
      <c r="B175" s="35">
        <v>21</v>
      </c>
      <c r="C175" s="35" t="str">
        <f>Tableau6[Jour]&amp;"/"&amp;Tableau6[Mois]</f>
        <v>21/6</v>
      </c>
      <c r="D175" s="35" t="e">
        <f>MATCH(Tableau6[Jours Mois]&amp;"/"&amp;Tableau6[[#Headers],[2021]],tabSuiviConso[Jour Mois Année],0)</f>
        <v>#N/A</v>
      </c>
      <c r="E175" s="35" t="str">
        <f>IF(ISNA(Tableau6[[#This Row],[Position 2021]]),"",INDEX(tabSuiviConso[HP + HC
cumul],Tableau6[[#This Row],[Position 2021]],1))</f>
        <v/>
      </c>
      <c r="F175" s="56" t="e">
        <f>IF(ISNA(Tableau6[[#This Row],[Position 2021]]),Tableau6[[#This Row],[Position 2021]],Tableau6[[#This Row],[2021]]-E$2)</f>
        <v>#N/A</v>
      </c>
      <c r="G175" s="35" t="e">
        <f>MATCH(Tableau6[Jours Mois]&amp;"/"&amp;Tableau6[[#Headers],[2022]],tabSuiviConso[Jour Mois Année],0)</f>
        <v>#N/A</v>
      </c>
      <c r="H175" s="35" t="str">
        <f>IF(ISNA(Tableau6[[#This Row],[Position 2022]]),"",INDEX(tabSuiviConso[HP + HC
cumul],Tableau6[[#This Row],[Position 2022]],1))</f>
        <v/>
      </c>
      <c r="I175" s="56" t="e">
        <f>IF(ISNA(Tableau6[[#This Row],[Position 2022]]),Tableau6[[#This Row],[Position 2022]],Tableau6[[#This Row],[2022]]-H$2)</f>
        <v>#N/A</v>
      </c>
      <c r="J175" s="35" t="e">
        <f>MATCH(Tableau6[Jours Mois]&amp;"/"&amp;Tableau6[[#Headers],[2023]],tabSuiviConso[Jour Mois Année],0)</f>
        <v>#N/A</v>
      </c>
      <c r="K175" s="35" t="e">
        <f>Tableau6[[#This Row],[Cumul 2022]]-Tableau6[[#This Row],[Cumul 2021]]</f>
        <v>#N/A</v>
      </c>
      <c r="L175" s="37" t="e">
        <f>Tableau6[[#This Row],[Ecart 2021 2022]]/Tableau6[[#This Row],[Cumul 2021]]</f>
        <v>#N/A</v>
      </c>
      <c r="M175" s="35" t="str">
        <f>IF(ISNA(Tableau6[[#This Row],[Position 2023]]),"",INDEX(tabSuiviConso[HP + HC
cumul],Tableau6[[#This Row],[Position 2023]],1))</f>
        <v/>
      </c>
      <c r="N175" s="56" t="e">
        <f>IF(ISNA(Tableau6[[#This Row],[Position 2023]]),Tableau6[[#This Row],[Position 2023]],Tableau6[[#This Row],[2023]]-M$2)</f>
        <v>#N/A</v>
      </c>
      <c r="O175" s="35" t="e">
        <f>Tableau6[[#This Row],[Cumul 2023]]-Tableau6[[#This Row],[Cumul 2022]]</f>
        <v>#N/A</v>
      </c>
      <c r="P175" s="37" t="e">
        <f>Tableau6[[#This Row],[Ecart 2022 2023]]/Tableau6[[#This Row],[Cumul 2022]]</f>
        <v>#N/A</v>
      </c>
      <c r="Q175" s="35" t="e">
        <f>MATCH(Tableau6[Jours Mois]&amp;"/"&amp;Tableau6[[#Headers],[2024]],tabSuiviConso[Jour Mois Année],0)</f>
        <v>#N/A</v>
      </c>
      <c r="R175" s="35" t="str">
        <f>IF(ISNA(Tableau6[[#This Row],[Position 2024]]),"",INDEX(tabSuiviConso[HP + HC
cumul],Tableau6[[#This Row],[Position 2024]],1))</f>
        <v/>
      </c>
      <c r="S175" s="56" t="e">
        <f>IF(ISNA(Tableau6[[#This Row],[Position 2024]]),Tableau6[[#This Row],[Position 2024]],Tableau6[[#This Row],[2024]]-R$2)</f>
        <v>#N/A</v>
      </c>
      <c r="T175" s="35" t="e">
        <f>Tableau6[[#This Row],[Cumul 2024]]-Tableau6[[#This Row],[Cumul 2023]]</f>
        <v>#N/A</v>
      </c>
      <c r="U175" s="36" t="e">
        <f>Tableau6[[#This Row],[Ecart 2023 2024]]/Tableau6[[#This Row],[Cumul 2023]]</f>
        <v>#N/A</v>
      </c>
    </row>
    <row r="176" spans="1:21" x14ac:dyDescent="0.2">
      <c r="A176" s="35">
        <v>6</v>
      </c>
      <c r="B176" s="35">
        <v>22</v>
      </c>
      <c r="C176" s="35" t="str">
        <f>Tableau6[Jour]&amp;"/"&amp;Tableau6[Mois]</f>
        <v>22/6</v>
      </c>
      <c r="D176" s="35" t="e">
        <f>MATCH(Tableau6[Jours Mois]&amp;"/"&amp;Tableau6[[#Headers],[2021]],tabSuiviConso[Jour Mois Année],0)</f>
        <v>#N/A</v>
      </c>
      <c r="E176" s="35" t="str">
        <f>IF(ISNA(Tableau6[[#This Row],[Position 2021]]),"",INDEX(tabSuiviConso[HP + HC
cumul],Tableau6[[#This Row],[Position 2021]],1))</f>
        <v/>
      </c>
      <c r="F176" s="56" t="e">
        <f>IF(ISNA(Tableau6[[#This Row],[Position 2021]]),Tableau6[[#This Row],[Position 2021]],Tableau6[[#This Row],[2021]]-E$2)</f>
        <v>#N/A</v>
      </c>
      <c r="G176" s="35" t="e">
        <f>MATCH(Tableau6[Jours Mois]&amp;"/"&amp;Tableau6[[#Headers],[2022]],tabSuiviConso[Jour Mois Année],0)</f>
        <v>#N/A</v>
      </c>
      <c r="H176" s="35" t="str">
        <f>IF(ISNA(Tableau6[[#This Row],[Position 2022]]),"",INDEX(tabSuiviConso[HP + HC
cumul],Tableau6[[#This Row],[Position 2022]],1))</f>
        <v/>
      </c>
      <c r="I176" s="56" t="e">
        <f>IF(ISNA(Tableau6[[#This Row],[Position 2022]]),Tableau6[[#This Row],[Position 2022]],Tableau6[[#This Row],[2022]]-H$2)</f>
        <v>#N/A</v>
      </c>
      <c r="J176" s="35" t="e">
        <f>MATCH(Tableau6[Jours Mois]&amp;"/"&amp;Tableau6[[#Headers],[2023]],tabSuiviConso[Jour Mois Année],0)</f>
        <v>#N/A</v>
      </c>
      <c r="K176" s="35" t="e">
        <f>Tableau6[[#This Row],[Cumul 2022]]-Tableau6[[#This Row],[Cumul 2021]]</f>
        <v>#N/A</v>
      </c>
      <c r="L176" s="37" t="e">
        <f>Tableau6[[#This Row],[Ecart 2021 2022]]/Tableau6[[#This Row],[Cumul 2021]]</f>
        <v>#N/A</v>
      </c>
      <c r="M176" s="35" t="str">
        <f>IF(ISNA(Tableau6[[#This Row],[Position 2023]]),"",INDEX(tabSuiviConso[HP + HC
cumul],Tableau6[[#This Row],[Position 2023]],1))</f>
        <v/>
      </c>
      <c r="N176" s="56" t="e">
        <f>IF(ISNA(Tableau6[[#This Row],[Position 2023]]),Tableau6[[#This Row],[Position 2023]],Tableau6[[#This Row],[2023]]-M$2)</f>
        <v>#N/A</v>
      </c>
      <c r="O176" s="35" t="e">
        <f>Tableau6[[#This Row],[Cumul 2023]]-Tableau6[[#This Row],[Cumul 2022]]</f>
        <v>#N/A</v>
      </c>
      <c r="P176" s="37" t="e">
        <f>Tableau6[[#This Row],[Ecart 2022 2023]]/Tableau6[[#This Row],[Cumul 2022]]</f>
        <v>#N/A</v>
      </c>
      <c r="Q176" s="35" t="e">
        <f>MATCH(Tableau6[Jours Mois]&amp;"/"&amp;Tableau6[[#Headers],[2024]],tabSuiviConso[Jour Mois Année],0)</f>
        <v>#N/A</v>
      </c>
      <c r="R176" s="35" t="str">
        <f>IF(ISNA(Tableau6[[#This Row],[Position 2024]]),"",INDEX(tabSuiviConso[HP + HC
cumul],Tableau6[[#This Row],[Position 2024]],1))</f>
        <v/>
      </c>
      <c r="S176" s="56" t="e">
        <f>IF(ISNA(Tableau6[[#This Row],[Position 2024]]),Tableau6[[#This Row],[Position 2024]],Tableau6[[#This Row],[2024]]-R$2)</f>
        <v>#N/A</v>
      </c>
      <c r="T176" s="35" t="e">
        <f>Tableau6[[#This Row],[Cumul 2024]]-Tableau6[[#This Row],[Cumul 2023]]</f>
        <v>#N/A</v>
      </c>
      <c r="U176" s="36" t="e">
        <f>Tableau6[[#This Row],[Ecart 2023 2024]]/Tableau6[[#This Row],[Cumul 2023]]</f>
        <v>#N/A</v>
      </c>
    </row>
    <row r="177" spans="1:21" x14ac:dyDescent="0.2">
      <c r="A177" s="35">
        <v>6</v>
      </c>
      <c r="B177" s="35">
        <v>23</v>
      </c>
      <c r="C177" s="35" t="str">
        <f>Tableau6[Jour]&amp;"/"&amp;Tableau6[Mois]</f>
        <v>23/6</v>
      </c>
      <c r="D177" s="35" t="e">
        <f>MATCH(Tableau6[Jours Mois]&amp;"/"&amp;Tableau6[[#Headers],[2021]],tabSuiviConso[Jour Mois Année],0)</f>
        <v>#N/A</v>
      </c>
      <c r="E177" s="35" t="str">
        <f>IF(ISNA(Tableau6[[#This Row],[Position 2021]]),"",INDEX(tabSuiviConso[HP + HC
cumul],Tableau6[[#This Row],[Position 2021]],1))</f>
        <v/>
      </c>
      <c r="F177" s="56" t="e">
        <f>IF(ISNA(Tableau6[[#This Row],[Position 2021]]),Tableau6[[#This Row],[Position 2021]],Tableau6[[#This Row],[2021]]-E$2)</f>
        <v>#N/A</v>
      </c>
      <c r="G177" s="35" t="e">
        <f>MATCH(Tableau6[Jours Mois]&amp;"/"&amp;Tableau6[[#Headers],[2022]],tabSuiviConso[Jour Mois Année],0)</f>
        <v>#N/A</v>
      </c>
      <c r="H177" s="35" t="str">
        <f>IF(ISNA(Tableau6[[#This Row],[Position 2022]]),"",INDEX(tabSuiviConso[HP + HC
cumul],Tableau6[[#This Row],[Position 2022]],1))</f>
        <v/>
      </c>
      <c r="I177" s="56" t="e">
        <f>IF(ISNA(Tableau6[[#This Row],[Position 2022]]),Tableau6[[#This Row],[Position 2022]],Tableau6[[#This Row],[2022]]-H$2)</f>
        <v>#N/A</v>
      </c>
      <c r="J177" s="35" t="e">
        <f>MATCH(Tableau6[Jours Mois]&amp;"/"&amp;Tableau6[[#Headers],[2023]],tabSuiviConso[Jour Mois Année],0)</f>
        <v>#N/A</v>
      </c>
      <c r="K177" s="35" t="e">
        <f>Tableau6[[#This Row],[Cumul 2022]]-Tableau6[[#This Row],[Cumul 2021]]</f>
        <v>#N/A</v>
      </c>
      <c r="L177" s="37" t="e">
        <f>Tableau6[[#This Row],[Ecart 2021 2022]]/Tableau6[[#This Row],[Cumul 2021]]</f>
        <v>#N/A</v>
      </c>
      <c r="M177" s="35" t="str">
        <f>IF(ISNA(Tableau6[[#This Row],[Position 2023]]),"",INDEX(tabSuiviConso[HP + HC
cumul],Tableau6[[#This Row],[Position 2023]],1))</f>
        <v/>
      </c>
      <c r="N177" s="56" t="e">
        <f>IF(ISNA(Tableau6[[#This Row],[Position 2023]]),Tableau6[[#This Row],[Position 2023]],Tableau6[[#This Row],[2023]]-M$2)</f>
        <v>#N/A</v>
      </c>
      <c r="O177" s="35" t="e">
        <f>Tableau6[[#This Row],[Cumul 2023]]-Tableau6[[#This Row],[Cumul 2022]]</f>
        <v>#N/A</v>
      </c>
      <c r="P177" s="37" t="e">
        <f>Tableau6[[#This Row],[Ecart 2022 2023]]/Tableau6[[#This Row],[Cumul 2022]]</f>
        <v>#N/A</v>
      </c>
      <c r="Q177" s="35" t="e">
        <f>MATCH(Tableau6[Jours Mois]&amp;"/"&amp;Tableau6[[#Headers],[2024]],tabSuiviConso[Jour Mois Année],0)</f>
        <v>#N/A</v>
      </c>
      <c r="R177" s="35" t="str">
        <f>IF(ISNA(Tableau6[[#This Row],[Position 2024]]),"",INDEX(tabSuiviConso[HP + HC
cumul],Tableau6[[#This Row],[Position 2024]],1))</f>
        <v/>
      </c>
      <c r="S177" s="56" t="e">
        <f>IF(ISNA(Tableau6[[#This Row],[Position 2024]]),Tableau6[[#This Row],[Position 2024]],Tableau6[[#This Row],[2024]]-R$2)</f>
        <v>#N/A</v>
      </c>
      <c r="T177" s="35" t="e">
        <f>Tableau6[[#This Row],[Cumul 2024]]-Tableau6[[#This Row],[Cumul 2023]]</f>
        <v>#N/A</v>
      </c>
      <c r="U177" s="36" t="e">
        <f>Tableau6[[#This Row],[Ecart 2023 2024]]/Tableau6[[#This Row],[Cumul 2023]]</f>
        <v>#N/A</v>
      </c>
    </row>
    <row r="178" spans="1:21" x14ac:dyDescent="0.2">
      <c r="A178" s="35">
        <v>6</v>
      </c>
      <c r="B178" s="35">
        <v>24</v>
      </c>
      <c r="C178" s="35" t="str">
        <f>Tableau6[Jour]&amp;"/"&amp;Tableau6[Mois]</f>
        <v>24/6</v>
      </c>
      <c r="D178" s="35" t="e">
        <f>MATCH(Tableau6[Jours Mois]&amp;"/"&amp;Tableau6[[#Headers],[2021]],tabSuiviConso[Jour Mois Année],0)</f>
        <v>#N/A</v>
      </c>
      <c r="E178" s="35" t="str">
        <f>IF(ISNA(Tableau6[[#This Row],[Position 2021]]),"",INDEX(tabSuiviConso[HP + HC
cumul],Tableau6[[#This Row],[Position 2021]],1))</f>
        <v/>
      </c>
      <c r="F178" s="56" t="e">
        <f>IF(ISNA(Tableau6[[#This Row],[Position 2021]]),Tableau6[[#This Row],[Position 2021]],Tableau6[[#This Row],[2021]]-E$2)</f>
        <v>#N/A</v>
      </c>
      <c r="G178" s="35" t="e">
        <f>MATCH(Tableau6[Jours Mois]&amp;"/"&amp;Tableau6[[#Headers],[2022]],tabSuiviConso[Jour Mois Année],0)</f>
        <v>#N/A</v>
      </c>
      <c r="H178" s="35" t="str">
        <f>IF(ISNA(Tableau6[[#This Row],[Position 2022]]),"",INDEX(tabSuiviConso[HP + HC
cumul],Tableau6[[#This Row],[Position 2022]],1))</f>
        <v/>
      </c>
      <c r="I178" s="56" t="e">
        <f>IF(ISNA(Tableau6[[#This Row],[Position 2022]]),Tableau6[[#This Row],[Position 2022]],Tableau6[[#This Row],[2022]]-H$2)</f>
        <v>#N/A</v>
      </c>
      <c r="J178" s="35" t="e">
        <f>MATCH(Tableau6[Jours Mois]&amp;"/"&amp;Tableau6[[#Headers],[2023]],tabSuiviConso[Jour Mois Année],0)</f>
        <v>#N/A</v>
      </c>
      <c r="K178" s="35" t="e">
        <f>Tableau6[[#This Row],[Cumul 2022]]-Tableau6[[#This Row],[Cumul 2021]]</f>
        <v>#N/A</v>
      </c>
      <c r="L178" s="37" t="e">
        <f>Tableau6[[#This Row],[Ecart 2021 2022]]/Tableau6[[#This Row],[Cumul 2021]]</f>
        <v>#N/A</v>
      </c>
      <c r="M178" s="35" t="str">
        <f>IF(ISNA(Tableau6[[#This Row],[Position 2023]]),"",INDEX(tabSuiviConso[HP + HC
cumul],Tableau6[[#This Row],[Position 2023]],1))</f>
        <v/>
      </c>
      <c r="N178" s="56" t="e">
        <f>IF(ISNA(Tableau6[[#This Row],[Position 2023]]),Tableau6[[#This Row],[Position 2023]],Tableau6[[#This Row],[2023]]-M$2)</f>
        <v>#N/A</v>
      </c>
      <c r="O178" s="35" t="e">
        <f>Tableau6[[#This Row],[Cumul 2023]]-Tableau6[[#This Row],[Cumul 2022]]</f>
        <v>#N/A</v>
      </c>
      <c r="P178" s="37" t="e">
        <f>Tableau6[[#This Row],[Ecart 2022 2023]]/Tableau6[[#This Row],[Cumul 2022]]</f>
        <v>#N/A</v>
      </c>
      <c r="Q178" s="35" t="e">
        <f>MATCH(Tableau6[Jours Mois]&amp;"/"&amp;Tableau6[[#Headers],[2024]],tabSuiviConso[Jour Mois Année],0)</f>
        <v>#N/A</v>
      </c>
      <c r="R178" s="35" t="str">
        <f>IF(ISNA(Tableau6[[#This Row],[Position 2024]]),"",INDEX(tabSuiviConso[HP + HC
cumul],Tableau6[[#This Row],[Position 2024]],1))</f>
        <v/>
      </c>
      <c r="S178" s="56" t="e">
        <f>IF(ISNA(Tableau6[[#This Row],[Position 2024]]),Tableau6[[#This Row],[Position 2024]],Tableau6[[#This Row],[2024]]-R$2)</f>
        <v>#N/A</v>
      </c>
      <c r="T178" s="35" t="e">
        <f>Tableau6[[#This Row],[Cumul 2024]]-Tableau6[[#This Row],[Cumul 2023]]</f>
        <v>#N/A</v>
      </c>
      <c r="U178" s="36" t="e">
        <f>Tableau6[[#This Row],[Ecart 2023 2024]]/Tableau6[[#This Row],[Cumul 2023]]</f>
        <v>#N/A</v>
      </c>
    </row>
    <row r="179" spans="1:21" x14ac:dyDescent="0.2">
      <c r="A179" s="35">
        <v>6</v>
      </c>
      <c r="B179" s="35">
        <v>25</v>
      </c>
      <c r="C179" s="35" t="str">
        <f>Tableau6[Jour]&amp;"/"&amp;Tableau6[Mois]</f>
        <v>25/6</v>
      </c>
      <c r="D179" s="35" t="e">
        <f>MATCH(Tableau6[Jours Mois]&amp;"/"&amp;Tableau6[[#Headers],[2021]],tabSuiviConso[Jour Mois Année],0)</f>
        <v>#N/A</v>
      </c>
      <c r="E179" s="35" t="str">
        <f>IF(ISNA(Tableau6[[#This Row],[Position 2021]]),"",INDEX(tabSuiviConso[HP + HC
cumul],Tableau6[[#This Row],[Position 2021]],1))</f>
        <v/>
      </c>
      <c r="F179" s="56" t="e">
        <f>IF(ISNA(Tableau6[[#This Row],[Position 2021]]),Tableau6[[#This Row],[Position 2021]],Tableau6[[#This Row],[2021]]-E$2)</f>
        <v>#N/A</v>
      </c>
      <c r="G179" s="35" t="e">
        <f>MATCH(Tableau6[Jours Mois]&amp;"/"&amp;Tableau6[[#Headers],[2022]],tabSuiviConso[Jour Mois Année],0)</f>
        <v>#N/A</v>
      </c>
      <c r="H179" s="35" t="str">
        <f>IF(ISNA(Tableau6[[#This Row],[Position 2022]]),"",INDEX(tabSuiviConso[HP + HC
cumul],Tableau6[[#This Row],[Position 2022]],1))</f>
        <v/>
      </c>
      <c r="I179" s="56" t="e">
        <f>IF(ISNA(Tableau6[[#This Row],[Position 2022]]),Tableau6[[#This Row],[Position 2022]],Tableau6[[#This Row],[2022]]-H$2)</f>
        <v>#N/A</v>
      </c>
      <c r="J179" s="35" t="e">
        <f>MATCH(Tableau6[Jours Mois]&amp;"/"&amp;Tableau6[[#Headers],[2023]],tabSuiviConso[Jour Mois Année],0)</f>
        <v>#N/A</v>
      </c>
      <c r="K179" s="35" t="e">
        <f>Tableau6[[#This Row],[Cumul 2022]]-Tableau6[[#This Row],[Cumul 2021]]</f>
        <v>#N/A</v>
      </c>
      <c r="L179" s="37" t="e">
        <f>Tableau6[[#This Row],[Ecart 2021 2022]]/Tableau6[[#This Row],[Cumul 2021]]</f>
        <v>#N/A</v>
      </c>
      <c r="M179" s="35" t="str">
        <f>IF(ISNA(Tableau6[[#This Row],[Position 2023]]),"",INDEX(tabSuiviConso[HP + HC
cumul],Tableau6[[#This Row],[Position 2023]],1))</f>
        <v/>
      </c>
      <c r="N179" s="56" t="e">
        <f>IF(ISNA(Tableau6[[#This Row],[Position 2023]]),Tableau6[[#This Row],[Position 2023]],Tableau6[[#This Row],[2023]]-M$2)</f>
        <v>#N/A</v>
      </c>
      <c r="O179" s="35" t="e">
        <f>Tableau6[[#This Row],[Cumul 2023]]-Tableau6[[#This Row],[Cumul 2022]]</f>
        <v>#N/A</v>
      </c>
      <c r="P179" s="37" t="e">
        <f>Tableau6[[#This Row],[Ecart 2022 2023]]/Tableau6[[#This Row],[Cumul 2022]]</f>
        <v>#N/A</v>
      </c>
      <c r="Q179" s="35" t="e">
        <f>MATCH(Tableau6[Jours Mois]&amp;"/"&amp;Tableau6[[#Headers],[2024]],tabSuiviConso[Jour Mois Année],0)</f>
        <v>#N/A</v>
      </c>
      <c r="R179" s="35" t="str">
        <f>IF(ISNA(Tableau6[[#This Row],[Position 2024]]),"",INDEX(tabSuiviConso[HP + HC
cumul],Tableau6[[#This Row],[Position 2024]],1))</f>
        <v/>
      </c>
      <c r="S179" s="56" t="e">
        <f>IF(ISNA(Tableau6[[#This Row],[Position 2024]]),Tableau6[[#This Row],[Position 2024]],Tableau6[[#This Row],[2024]]-R$2)</f>
        <v>#N/A</v>
      </c>
      <c r="T179" s="35" t="e">
        <f>Tableau6[[#This Row],[Cumul 2024]]-Tableau6[[#This Row],[Cumul 2023]]</f>
        <v>#N/A</v>
      </c>
      <c r="U179" s="36" t="e">
        <f>Tableau6[[#This Row],[Ecart 2023 2024]]/Tableau6[[#This Row],[Cumul 2023]]</f>
        <v>#N/A</v>
      </c>
    </row>
    <row r="180" spans="1:21" x14ac:dyDescent="0.2">
      <c r="A180" s="35">
        <v>6</v>
      </c>
      <c r="B180" s="35">
        <v>26</v>
      </c>
      <c r="C180" s="35" t="str">
        <f>Tableau6[Jour]&amp;"/"&amp;Tableau6[Mois]</f>
        <v>26/6</v>
      </c>
      <c r="D180" s="35" t="e">
        <f>MATCH(Tableau6[Jours Mois]&amp;"/"&amp;Tableau6[[#Headers],[2021]],tabSuiviConso[Jour Mois Année],0)</f>
        <v>#N/A</v>
      </c>
      <c r="E180" s="35" t="str">
        <f>IF(ISNA(Tableau6[[#This Row],[Position 2021]]),"",INDEX(tabSuiviConso[HP + HC
cumul],Tableau6[[#This Row],[Position 2021]],1))</f>
        <v/>
      </c>
      <c r="F180" s="56" t="e">
        <f>IF(ISNA(Tableau6[[#This Row],[Position 2021]]),Tableau6[[#This Row],[Position 2021]],Tableau6[[#This Row],[2021]]-E$2)</f>
        <v>#N/A</v>
      </c>
      <c r="G180" s="35" t="e">
        <f>MATCH(Tableau6[Jours Mois]&amp;"/"&amp;Tableau6[[#Headers],[2022]],tabSuiviConso[Jour Mois Année],0)</f>
        <v>#N/A</v>
      </c>
      <c r="H180" s="35" t="str">
        <f>IF(ISNA(Tableau6[[#This Row],[Position 2022]]),"",INDEX(tabSuiviConso[HP + HC
cumul],Tableau6[[#This Row],[Position 2022]],1))</f>
        <v/>
      </c>
      <c r="I180" s="56" t="e">
        <f>IF(ISNA(Tableau6[[#This Row],[Position 2022]]),Tableau6[[#This Row],[Position 2022]],Tableau6[[#This Row],[2022]]-H$2)</f>
        <v>#N/A</v>
      </c>
      <c r="J180" s="35" t="e">
        <f>MATCH(Tableau6[Jours Mois]&amp;"/"&amp;Tableau6[[#Headers],[2023]],tabSuiviConso[Jour Mois Année],0)</f>
        <v>#N/A</v>
      </c>
      <c r="K180" s="35" t="e">
        <f>Tableau6[[#This Row],[Cumul 2022]]-Tableau6[[#This Row],[Cumul 2021]]</f>
        <v>#N/A</v>
      </c>
      <c r="L180" s="37" t="e">
        <f>Tableau6[[#This Row],[Ecart 2021 2022]]/Tableau6[[#This Row],[Cumul 2021]]</f>
        <v>#N/A</v>
      </c>
      <c r="M180" s="35" t="str">
        <f>IF(ISNA(Tableau6[[#This Row],[Position 2023]]),"",INDEX(tabSuiviConso[HP + HC
cumul],Tableau6[[#This Row],[Position 2023]],1))</f>
        <v/>
      </c>
      <c r="N180" s="56" t="e">
        <f>IF(ISNA(Tableau6[[#This Row],[Position 2023]]),Tableau6[[#This Row],[Position 2023]],Tableau6[[#This Row],[2023]]-M$2)</f>
        <v>#N/A</v>
      </c>
      <c r="O180" s="35" t="e">
        <f>Tableau6[[#This Row],[Cumul 2023]]-Tableau6[[#This Row],[Cumul 2022]]</f>
        <v>#N/A</v>
      </c>
      <c r="P180" s="37" t="e">
        <f>Tableau6[[#This Row],[Ecart 2022 2023]]/Tableau6[[#This Row],[Cumul 2022]]</f>
        <v>#N/A</v>
      </c>
      <c r="Q180" s="35" t="e">
        <f>MATCH(Tableau6[Jours Mois]&amp;"/"&amp;Tableau6[[#Headers],[2024]],tabSuiviConso[Jour Mois Année],0)</f>
        <v>#N/A</v>
      </c>
      <c r="R180" s="35" t="str">
        <f>IF(ISNA(Tableau6[[#This Row],[Position 2024]]),"",INDEX(tabSuiviConso[HP + HC
cumul],Tableau6[[#This Row],[Position 2024]],1))</f>
        <v/>
      </c>
      <c r="S180" s="56" t="e">
        <f>IF(ISNA(Tableau6[[#This Row],[Position 2024]]),Tableau6[[#This Row],[Position 2024]],Tableau6[[#This Row],[2024]]-R$2)</f>
        <v>#N/A</v>
      </c>
      <c r="T180" s="35" t="e">
        <f>Tableau6[[#This Row],[Cumul 2024]]-Tableau6[[#This Row],[Cumul 2023]]</f>
        <v>#N/A</v>
      </c>
      <c r="U180" s="36" t="e">
        <f>Tableau6[[#This Row],[Ecart 2023 2024]]/Tableau6[[#This Row],[Cumul 2023]]</f>
        <v>#N/A</v>
      </c>
    </row>
    <row r="181" spans="1:21" x14ac:dyDescent="0.2">
      <c r="A181" s="35">
        <v>6</v>
      </c>
      <c r="B181" s="35">
        <v>27</v>
      </c>
      <c r="C181" s="35" t="str">
        <f>Tableau6[Jour]&amp;"/"&amp;Tableau6[Mois]</f>
        <v>27/6</v>
      </c>
      <c r="D181" s="35" t="e">
        <f>MATCH(Tableau6[Jours Mois]&amp;"/"&amp;Tableau6[[#Headers],[2021]],tabSuiviConso[Jour Mois Année],0)</f>
        <v>#N/A</v>
      </c>
      <c r="E181" s="35" t="str">
        <f>IF(ISNA(Tableau6[[#This Row],[Position 2021]]),"",INDEX(tabSuiviConso[HP + HC
cumul],Tableau6[[#This Row],[Position 2021]],1))</f>
        <v/>
      </c>
      <c r="F181" s="56" t="e">
        <f>IF(ISNA(Tableau6[[#This Row],[Position 2021]]),Tableau6[[#This Row],[Position 2021]],Tableau6[[#This Row],[2021]]-E$2)</f>
        <v>#N/A</v>
      </c>
      <c r="G181" s="35" t="e">
        <f>MATCH(Tableau6[Jours Mois]&amp;"/"&amp;Tableau6[[#Headers],[2022]],tabSuiviConso[Jour Mois Année],0)</f>
        <v>#N/A</v>
      </c>
      <c r="H181" s="35" t="str">
        <f>IF(ISNA(Tableau6[[#This Row],[Position 2022]]),"",INDEX(tabSuiviConso[HP + HC
cumul],Tableau6[[#This Row],[Position 2022]],1))</f>
        <v/>
      </c>
      <c r="I181" s="56" t="e">
        <f>IF(ISNA(Tableau6[[#This Row],[Position 2022]]),Tableau6[[#This Row],[Position 2022]],Tableau6[[#This Row],[2022]]-H$2)</f>
        <v>#N/A</v>
      </c>
      <c r="J181" s="35" t="e">
        <f>MATCH(Tableau6[Jours Mois]&amp;"/"&amp;Tableau6[[#Headers],[2023]],tabSuiviConso[Jour Mois Année],0)</f>
        <v>#N/A</v>
      </c>
      <c r="K181" s="35" t="e">
        <f>Tableau6[[#This Row],[Cumul 2022]]-Tableau6[[#This Row],[Cumul 2021]]</f>
        <v>#N/A</v>
      </c>
      <c r="L181" s="37" t="e">
        <f>Tableau6[[#This Row],[Ecart 2021 2022]]/Tableau6[[#This Row],[Cumul 2021]]</f>
        <v>#N/A</v>
      </c>
      <c r="M181" s="35" t="str">
        <f>IF(ISNA(Tableau6[[#This Row],[Position 2023]]),"",INDEX(tabSuiviConso[HP + HC
cumul],Tableau6[[#This Row],[Position 2023]],1))</f>
        <v/>
      </c>
      <c r="N181" s="56" t="e">
        <f>IF(ISNA(Tableau6[[#This Row],[Position 2023]]),Tableau6[[#This Row],[Position 2023]],Tableau6[[#This Row],[2023]]-M$2)</f>
        <v>#N/A</v>
      </c>
      <c r="O181" s="35" t="e">
        <f>Tableau6[[#This Row],[Cumul 2023]]-Tableau6[[#This Row],[Cumul 2022]]</f>
        <v>#N/A</v>
      </c>
      <c r="P181" s="37" t="e">
        <f>Tableau6[[#This Row],[Ecart 2022 2023]]/Tableau6[[#This Row],[Cumul 2022]]</f>
        <v>#N/A</v>
      </c>
      <c r="Q181" s="35" t="e">
        <f>MATCH(Tableau6[Jours Mois]&amp;"/"&amp;Tableau6[[#Headers],[2024]],tabSuiviConso[Jour Mois Année],0)</f>
        <v>#N/A</v>
      </c>
      <c r="R181" s="35" t="str">
        <f>IF(ISNA(Tableau6[[#This Row],[Position 2024]]),"",INDEX(tabSuiviConso[HP + HC
cumul],Tableau6[[#This Row],[Position 2024]],1))</f>
        <v/>
      </c>
      <c r="S181" s="56" t="e">
        <f>IF(ISNA(Tableau6[[#This Row],[Position 2024]]),Tableau6[[#This Row],[Position 2024]],Tableau6[[#This Row],[2024]]-R$2)</f>
        <v>#N/A</v>
      </c>
      <c r="T181" s="35" t="e">
        <f>Tableau6[[#This Row],[Cumul 2024]]-Tableau6[[#This Row],[Cumul 2023]]</f>
        <v>#N/A</v>
      </c>
      <c r="U181" s="36" t="e">
        <f>Tableau6[[#This Row],[Ecart 2023 2024]]/Tableau6[[#This Row],[Cumul 2023]]</f>
        <v>#N/A</v>
      </c>
    </row>
    <row r="182" spans="1:21" x14ac:dyDescent="0.2">
      <c r="A182" s="35">
        <v>6</v>
      </c>
      <c r="B182" s="35">
        <v>28</v>
      </c>
      <c r="C182" s="35" t="str">
        <f>Tableau6[Jour]&amp;"/"&amp;Tableau6[Mois]</f>
        <v>28/6</v>
      </c>
      <c r="D182" s="35" t="e">
        <f>MATCH(Tableau6[Jours Mois]&amp;"/"&amp;Tableau6[[#Headers],[2021]],tabSuiviConso[Jour Mois Année],0)</f>
        <v>#N/A</v>
      </c>
      <c r="E182" s="35" t="str">
        <f>IF(ISNA(Tableau6[[#This Row],[Position 2021]]),"",INDEX(tabSuiviConso[HP + HC
cumul],Tableau6[[#This Row],[Position 2021]],1))</f>
        <v/>
      </c>
      <c r="F182" s="56" t="e">
        <f>IF(ISNA(Tableau6[[#This Row],[Position 2021]]),Tableau6[[#This Row],[Position 2021]],Tableau6[[#This Row],[2021]]-E$2)</f>
        <v>#N/A</v>
      </c>
      <c r="G182" s="35" t="e">
        <f>MATCH(Tableau6[Jours Mois]&amp;"/"&amp;Tableau6[[#Headers],[2022]],tabSuiviConso[Jour Mois Année],0)</f>
        <v>#N/A</v>
      </c>
      <c r="H182" s="35" t="str">
        <f>IF(ISNA(Tableau6[[#This Row],[Position 2022]]),"",INDEX(tabSuiviConso[HP + HC
cumul],Tableau6[[#This Row],[Position 2022]],1))</f>
        <v/>
      </c>
      <c r="I182" s="56" t="e">
        <f>IF(ISNA(Tableau6[[#This Row],[Position 2022]]),Tableau6[[#This Row],[Position 2022]],Tableau6[[#This Row],[2022]]-H$2)</f>
        <v>#N/A</v>
      </c>
      <c r="J182" s="35" t="e">
        <f>MATCH(Tableau6[Jours Mois]&amp;"/"&amp;Tableau6[[#Headers],[2023]],tabSuiviConso[Jour Mois Année],0)</f>
        <v>#N/A</v>
      </c>
      <c r="K182" s="35" t="e">
        <f>Tableau6[[#This Row],[Cumul 2022]]-Tableau6[[#This Row],[Cumul 2021]]</f>
        <v>#N/A</v>
      </c>
      <c r="L182" s="37" t="e">
        <f>Tableau6[[#This Row],[Ecart 2021 2022]]/Tableau6[[#This Row],[Cumul 2021]]</f>
        <v>#N/A</v>
      </c>
      <c r="M182" s="35" t="str">
        <f>IF(ISNA(Tableau6[[#This Row],[Position 2023]]),"",INDEX(tabSuiviConso[HP + HC
cumul],Tableau6[[#This Row],[Position 2023]],1))</f>
        <v/>
      </c>
      <c r="N182" s="56" t="e">
        <f>IF(ISNA(Tableau6[[#This Row],[Position 2023]]),Tableau6[[#This Row],[Position 2023]],Tableau6[[#This Row],[2023]]-M$2)</f>
        <v>#N/A</v>
      </c>
      <c r="O182" s="35" t="e">
        <f>Tableau6[[#This Row],[Cumul 2023]]-Tableau6[[#This Row],[Cumul 2022]]</f>
        <v>#N/A</v>
      </c>
      <c r="P182" s="37" t="e">
        <f>Tableau6[[#This Row],[Ecart 2022 2023]]/Tableau6[[#This Row],[Cumul 2022]]</f>
        <v>#N/A</v>
      </c>
      <c r="Q182" s="35" t="e">
        <f>MATCH(Tableau6[Jours Mois]&amp;"/"&amp;Tableau6[[#Headers],[2024]],tabSuiviConso[Jour Mois Année],0)</f>
        <v>#N/A</v>
      </c>
      <c r="R182" s="35" t="str">
        <f>IF(ISNA(Tableau6[[#This Row],[Position 2024]]),"",INDEX(tabSuiviConso[HP + HC
cumul],Tableau6[[#This Row],[Position 2024]],1))</f>
        <v/>
      </c>
      <c r="S182" s="56" t="e">
        <f>IF(ISNA(Tableau6[[#This Row],[Position 2024]]),Tableau6[[#This Row],[Position 2024]],Tableau6[[#This Row],[2024]]-R$2)</f>
        <v>#N/A</v>
      </c>
      <c r="T182" s="35" t="e">
        <f>Tableau6[[#This Row],[Cumul 2024]]-Tableau6[[#This Row],[Cumul 2023]]</f>
        <v>#N/A</v>
      </c>
      <c r="U182" s="36" t="e">
        <f>Tableau6[[#This Row],[Ecart 2023 2024]]/Tableau6[[#This Row],[Cumul 2023]]</f>
        <v>#N/A</v>
      </c>
    </row>
    <row r="183" spans="1:21" x14ac:dyDescent="0.2">
      <c r="A183" s="35">
        <v>6</v>
      </c>
      <c r="B183" s="35">
        <v>29</v>
      </c>
      <c r="C183" s="35" t="str">
        <f>Tableau6[Jour]&amp;"/"&amp;Tableau6[Mois]</f>
        <v>29/6</v>
      </c>
      <c r="D183" s="35" t="e">
        <f>MATCH(Tableau6[Jours Mois]&amp;"/"&amp;Tableau6[[#Headers],[2021]],tabSuiviConso[Jour Mois Année],0)</f>
        <v>#N/A</v>
      </c>
      <c r="E183" s="35" t="str">
        <f>IF(ISNA(Tableau6[[#This Row],[Position 2021]]),"",INDEX(tabSuiviConso[HP + HC
cumul],Tableau6[[#This Row],[Position 2021]],1))</f>
        <v/>
      </c>
      <c r="F183" s="56" t="e">
        <f>IF(ISNA(Tableau6[[#This Row],[Position 2021]]),Tableau6[[#This Row],[Position 2021]],Tableau6[[#This Row],[2021]]-E$2)</f>
        <v>#N/A</v>
      </c>
      <c r="G183" s="35" t="e">
        <f>MATCH(Tableau6[Jours Mois]&amp;"/"&amp;Tableau6[[#Headers],[2022]],tabSuiviConso[Jour Mois Année],0)</f>
        <v>#N/A</v>
      </c>
      <c r="H183" s="35" t="str">
        <f>IF(ISNA(Tableau6[[#This Row],[Position 2022]]),"",INDEX(tabSuiviConso[HP + HC
cumul],Tableau6[[#This Row],[Position 2022]],1))</f>
        <v/>
      </c>
      <c r="I183" s="56" t="e">
        <f>IF(ISNA(Tableau6[[#This Row],[Position 2022]]),Tableau6[[#This Row],[Position 2022]],Tableau6[[#This Row],[2022]]-H$2)</f>
        <v>#N/A</v>
      </c>
      <c r="J183" s="35" t="e">
        <f>MATCH(Tableau6[Jours Mois]&amp;"/"&amp;Tableau6[[#Headers],[2023]],tabSuiviConso[Jour Mois Année],0)</f>
        <v>#N/A</v>
      </c>
      <c r="K183" s="35" t="e">
        <f>Tableau6[[#This Row],[Cumul 2022]]-Tableau6[[#This Row],[Cumul 2021]]</f>
        <v>#N/A</v>
      </c>
      <c r="L183" s="37" t="e">
        <f>Tableau6[[#This Row],[Ecart 2021 2022]]/Tableau6[[#This Row],[Cumul 2021]]</f>
        <v>#N/A</v>
      </c>
      <c r="M183" s="35" t="str">
        <f>IF(ISNA(Tableau6[[#This Row],[Position 2023]]),"",INDEX(tabSuiviConso[HP + HC
cumul],Tableau6[[#This Row],[Position 2023]],1))</f>
        <v/>
      </c>
      <c r="N183" s="56" t="e">
        <f>IF(ISNA(Tableau6[[#This Row],[Position 2023]]),Tableau6[[#This Row],[Position 2023]],Tableau6[[#This Row],[2023]]-M$2)</f>
        <v>#N/A</v>
      </c>
      <c r="O183" s="35" t="e">
        <f>Tableau6[[#This Row],[Cumul 2023]]-Tableau6[[#This Row],[Cumul 2022]]</f>
        <v>#N/A</v>
      </c>
      <c r="P183" s="37" t="e">
        <f>Tableau6[[#This Row],[Ecart 2022 2023]]/Tableau6[[#This Row],[Cumul 2022]]</f>
        <v>#N/A</v>
      </c>
      <c r="Q183" s="35" t="e">
        <f>MATCH(Tableau6[Jours Mois]&amp;"/"&amp;Tableau6[[#Headers],[2024]],tabSuiviConso[Jour Mois Année],0)</f>
        <v>#N/A</v>
      </c>
      <c r="R183" s="35" t="str">
        <f>IF(ISNA(Tableau6[[#This Row],[Position 2024]]),"",INDEX(tabSuiviConso[HP + HC
cumul],Tableau6[[#This Row],[Position 2024]],1))</f>
        <v/>
      </c>
      <c r="S183" s="56" t="e">
        <f>IF(ISNA(Tableau6[[#This Row],[Position 2024]]),Tableau6[[#This Row],[Position 2024]],Tableau6[[#This Row],[2024]]-R$2)</f>
        <v>#N/A</v>
      </c>
      <c r="T183" s="35" t="e">
        <f>Tableau6[[#This Row],[Cumul 2024]]-Tableau6[[#This Row],[Cumul 2023]]</f>
        <v>#N/A</v>
      </c>
      <c r="U183" s="36" t="e">
        <f>Tableau6[[#This Row],[Ecart 2023 2024]]/Tableau6[[#This Row],[Cumul 2023]]</f>
        <v>#N/A</v>
      </c>
    </row>
    <row r="184" spans="1:21" x14ac:dyDescent="0.2">
      <c r="A184" s="35">
        <v>6</v>
      </c>
      <c r="B184" s="35">
        <v>30</v>
      </c>
      <c r="C184" s="35" t="str">
        <f>Tableau6[Jour]&amp;"/"&amp;Tableau6[Mois]</f>
        <v>30/6</v>
      </c>
      <c r="D184" s="35" t="e">
        <f>MATCH(Tableau6[Jours Mois]&amp;"/"&amp;Tableau6[[#Headers],[2021]],tabSuiviConso[Jour Mois Année],0)</f>
        <v>#N/A</v>
      </c>
      <c r="E184" s="35" t="str">
        <f>IF(ISNA(Tableau6[[#This Row],[Position 2021]]),"",INDEX(tabSuiviConso[HP + HC
cumul],Tableau6[[#This Row],[Position 2021]],1))</f>
        <v/>
      </c>
      <c r="F184" s="56" t="e">
        <f>IF(ISNA(Tableau6[[#This Row],[Position 2021]]),Tableau6[[#This Row],[Position 2021]],Tableau6[[#This Row],[2021]]-E$2)</f>
        <v>#N/A</v>
      </c>
      <c r="G184" s="35" t="e">
        <f>MATCH(Tableau6[Jours Mois]&amp;"/"&amp;Tableau6[[#Headers],[2022]],tabSuiviConso[Jour Mois Année],0)</f>
        <v>#N/A</v>
      </c>
      <c r="H184" s="35" t="str">
        <f>IF(ISNA(Tableau6[[#This Row],[Position 2022]]),"",INDEX(tabSuiviConso[HP + HC
cumul],Tableau6[[#This Row],[Position 2022]],1))</f>
        <v/>
      </c>
      <c r="I184" s="56" t="e">
        <f>IF(ISNA(Tableau6[[#This Row],[Position 2022]]),Tableau6[[#This Row],[Position 2022]],Tableau6[[#This Row],[2022]]-H$2)</f>
        <v>#N/A</v>
      </c>
      <c r="J184" s="35" t="e">
        <f>MATCH(Tableau6[Jours Mois]&amp;"/"&amp;Tableau6[[#Headers],[2023]],tabSuiviConso[Jour Mois Année],0)</f>
        <v>#N/A</v>
      </c>
      <c r="K184" s="35" t="e">
        <f>Tableau6[[#This Row],[Cumul 2022]]-Tableau6[[#This Row],[Cumul 2021]]</f>
        <v>#N/A</v>
      </c>
      <c r="L184" s="37" t="e">
        <f>Tableau6[[#This Row],[Ecart 2021 2022]]/Tableau6[[#This Row],[Cumul 2021]]</f>
        <v>#N/A</v>
      </c>
      <c r="M184" s="35" t="str">
        <f>IF(ISNA(Tableau6[[#This Row],[Position 2023]]),"",INDEX(tabSuiviConso[HP + HC
cumul],Tableau6[[#This Row],[Position 2023]],1))</f>
        <v/>
      </c>
      <c r="N184" s="56" t="e">
        <f>IF(ISNA(Tableau6[[#This Row],[Position 2023]]),Tableau6[[#This Row],[Position 2023]],Tableau6[[#This Row],[2023]]-M$2)</f>
        <v>#N/A</v>
      </c>
      <c r="O184" s="35" t="e">
        <f>Tableau6[[#This Row],[Cumul 2023]]-Tableau6[[#This Row],[Cumul 2022]]</f>
        <v>#N/A</v>
      </c>
      <c r="P184" s="37" t="e">
        <f>Tableau6[[#This Row],[Ecart 2022 2023]]/Tableau6[[#This Row],[Cumul 2022]]</f>
        <v>#N/A</v>
      </c>
      <c r="Q184" s="35" t="e">
        <f>MATCH(Tableau6[Jours Mois]&amp;"/"&amp;Tableau6[[#Headers],[2024]],tabSuiviConso[Jour Mois Année],0)</f>
        <v>#N/A</v>
      </c>
      <c r="R184" s="35" t="str">
        <f>IF(ISNA(Tableau6[[#This Row],[Position 2024]]),"",INDEX(tabSuiviConso[HP + HC
cumul],Tableau6[[#This Row],[Position 2024]],1))</f>
        <v/>
      </c>
      <c r="S184" s="56" t="e">
        <f>IF(ISNA(Tableau6[[#This Row],[Position 2024]]),Tableau6[[#This Row],[Position 2024]],Tableau6[[#This Row],[2024]]-R$2)</f>
        <v>#N/A</v>
      </c>
      <c r="T184" s="35" t="e">
        <f>Tableau6[[#This Row],[Cumul 2024]]-Tableau6[[#This Row],[Cumul 2023]]</f>
        <v>#N/A</v>
      </c>
      <c r="U184" s="36" t="e">
        <f>Tableau6[[#This Row],[Ecart 2023 2024]]/Tableau6[[#This Row],[Cumul 2023]]</f>
        <v>#N/A</v>
      </c>
    </row>
    <row r="185" spans="1:21" x14ac:dyDescent="0.2">
      <c r="A185" s="35">
        <v>7</v>
      </c>
      <c r="B185" s="35">
        <v>1</v>
      </c>
      <c r="C185" s="35" t="str">
        <f>Tableau6[Jour]&amp;"/"&amp;Tableau6[Mois]</f>
        <v>1/7</v>
      </c>
      <c r="D185" s="35" t="e">
        <f>MATCH(Tableau6[Jours Mois]&amp;"/"&amp;Tableau6[[#Headers],[2021]],tabSuiviConso[Jour Mois Année],0)</f>
        <v>#N/A</v>
      </c>
      <c r="E185" s="35" t="str">
        <f>IF(ISNA(Tableau6[[#This Row],[Position 2021]]),"",INDEX(tabSuiviConso[HP + HC
cumul],Tableau6[[#This Row],[Position 2021]],1))</f>
        <v/>
      </c>
      <c r="F185" s="56" t="e">
        <f>IF(ISNA(Tableau6[[#This Row],[Position 2021]]),Tableau6[[#This Row],[Position 2021]],Tableau6[[#This Row],[2021]]-E$2)</f>
        <v>#N/A</v>
      </c>
      <c r="G185" s="35" t="e">
        <f>MATCH(Tableau6[Jours Mois]&amp;"/"&amp;Tableau6[[#Headers],[2022]],tabSuiviConso[Jour Mois Année],0)</f>
        <v>#N/A</v>
      </c>
      <c r="H185" s="35" t="str">
        <f>IF(ISNA(Tableau6[[#This Row],[Position 2022]]),"",INDEX(tabSuiviConso[HP + HC
cumul],Tableau6[[#This Row],[Position 2022]],1))</f>
        <v/>
      </c>
      <c r="I185" s="56" t="e">
        <f>IF(ISNA(Tableau6[[#This Row],[Position 2022]]),Tableau6[[#This Row],[Position 2022]],Tableau6[[#This Row],[2022]]-H$2)</f>
        <v>#N/A</v>
      </c>
      <c r="J185" s="35" t="e">
        <f>MATCH(Tableau6[Jours Mois]&amp;"/"&amp;Tableau6[[#Headers],[2023]],tabSuiviConso[Jour Mois Année],0)</f>
        <v>#N/A</v>
      </c>
      <c r="K185" s="35" t="e">
        <f>Tableau6[[#This Row],[Cumul 2022]]-Tableau6[[#This Row],[Cumul 2021]]</f>
        <v>#N/A</v>
      </c>
      <c r="L185" s="37" t="e">
        <f>Tableau6[[#This Row],[Ecart 2021 2022]]/Tableau6[[#This Row],[Cumul 2021]]</f>
        <v>#N/A</v>
      </c>
      <c r="M185" s="35" t="str">
        <f>IF(ISNA(Tableau6[[#This Row],[Position 2023]]),"",INDEX(tabSuiviConso[HP + HC
cumul],Tableau6[[#This Row],[Position 2023]],1))</f>
        <v/>
      </c>
      <c r="N185" s="56" t="e">
        <f>IF(ISNA(Tableau6[[#This Row],[Position 2023]]),Tableau6[[#This Row],[Position 2023]],Tableau6[[#This Row],[2023]]-M$2)</f>
        <v>#N/A</v>
      </c>
      <c r="O185" s="35" t="e">
        <f>Tableau6[[#This Row],[Cumul 2023]]-Tableau6[[#This Row],[Cumul 2022]]</f>
        <v>#N/A</v>
      </c>
      <c r="P185" s="37" t="e">
        <f>Tableau6[[#This Row],[Ecart 2022 2023]]/Tableau6[[#This Row],[Cumul 2022]]</f>
        <v>#N/A</v>
      </c>
      <c r="Q185" s="35" t="e">
        <f>MATCH(Tableau6[Jours Mois]&amp;"/"&amp;Tableau6[[#Headers],[2024]],tabSuiviConso[Jour Mois Année],0)</f>
        <v>#N/A</v>
      </c>
      <c r="R185" s="67" t="str">
        <f>IF(ISNA(Tableau6[[#This Row],[Position 2024]]),"",INDEX(tabSuiviConso[HP + HC
cumul],Tableau6[[#This Row],[Position 2024]],1))</f>
        <v/>
      </c>
      <c r="S185" s="68" t="e">
        <f>IF(ISNA(Tableau6[[#This Row],[Position 2024]]),Tableau6[[#This Row],[Position 2024]],Tableau6[[#This Row],[2024]]-R$2)</f>
        <v>#N/A</v>
      </c>
      <c r="T185" s="67" t="e">
        <f>Tableau6[[#This Row],[Cumul 2024]]-Tableau6[[#This Row],[Cumul 2023]]</f>
        <v>#N/A</v>
      </c>
      <c r="U185" s="69" t="e">
        <f>Tableau6[[#This Row],[Ecart 2023 2024]]/Tableau6[[#This Row],[Cumul 2023]]</f>
        <v>#N/A</v>
      </c>
    </row>
    <row r="186" spans="1:21" x14ac:dyDescent="0.2">
      <c r="A186" s="35">
        <v>7</v>
      </c>
      <c r="B186" s="35">
        <v>2</v>
      </c>
      <c r="C186" s="35" t="str">
        <f>Tableau6[Jour]&amp;"/"&amp;Tableau6[Mois]</f>
        <v>2/7</v>
      </c>
      <c r="D186" s="35" t="e">
        <f>MATCH(Tableau6[Jours Mois]&amp;"/"&amp;Tableau6[[#Headers],[2021]],tabSuiviConso[Jour Mois Année],0)</f>
        <v>#N/A</v>
      </c>
      <c r="E186" s="35" t="str">
        <f>IF(ISNA(Tableau6[[#This Row],[Position 2021]]),"",INDEX(tabSuiviConso[HP + HC
cumul],Tableau6[[#This Row],[Position 2021]],1))</f>
        <v/>
      </c>
      <c r="F186" s="56" t="e">
        <f>IF(ISNA(Tableau6[[#This Row],[Position 2021]]),Tableau6[[#This Row],[Position 2021]],Tableau6[[#This Row],[2021]]-E$2)</f>
        <v>#N/A</v>
      </c>
      <c r="G186" s="35" t="e">
        <f>MATCH(Tableau6[Jours Mois]&amp;"/"&amp;Tableau6[[#Headers],[2022]],tabSuiviConso[Jour Mois Année],0)</f>
        <v>#N/A</v>
      </c>
      <c r="H186" s="35" t="str">
        <f>IF(ISNA(Tableau6[[#This Row],[Position 2022]]),"",INDEX(tabSuiviConso[HP + HC
cumul],Tableau6[[#This Row],[Position 2022]],1))</f>
        <v/>
      </c>
      <c r="I186" s="56" t="e">
        <f>IF(ISNA(Tableau6[[#This Row],[Position 2022]]),Tableau6[[#This Row],[Position 2022]],Tableau6[[#This Row],[2022]]-H$2)</f>
        <v>#N/A</v>
      </c>
      <c r="J186" s="35" t="e">
        <f>MATCH(Tableau6[Jours Mois]&amp;"/"&amp;Tableau6[[#Headers],[2023]],tabSuiviConso[Jour Mois Année],0)</f>
        <v>#N/A</v>
      </c>
      <c r="K186" s="35" t="e">
        <f>Tableau6[[#This Row],[Cumul 2022]]-Tableau6[[#This Row],[Cumul 2021]]</f>
        <v>#N/A</v>
      </c>
      <c r="L186" s="37" t="e">
        <f>Tableau6[[#This Row],[Ecart 2021 2022]]/Tableau6[[#This Row],[Cumul 2021]]</f>
        <v>#N/A</v>
      </c>
      <c r="M186" s="35" t="str">
        <f>IF(ISNA(Tableau6[[#This Row],[Position 2023]]),"",INDEX(tabSuiviConso[HP + HC
cumul],Tableau6[[#This Row],[Position 2023]],1))</f>
        <v/>
      </c>
      <c r="N186" s="56" t="e">
        <f>IF(ISNA(Tableau6[[#This Row],[Position 2023]]),Tableau6[[#This Row],[Position 2023]],Tableau6[[#This Row],[2023]]-M$2)</f>
        <v>#N/A</v>
      </c>
      <c r="O186" s="35" t="e">
        <f>Tableau6[[#This Row],[Cumul 2023]]-Tableau6[[#This Row],[Cumul 2022]]</f>
        <v>#N/A</v>
      </c>
      <c r="P186" s="37" t="e">
        <f>Tableau6[[#This Row],[Ecart 2022 2023]]/Tableau6[[#This Row],[Cumul 2022]]</f>
        <v>#N/A</v>
      </c>
      <c r="Q186" s="35" t="e">
        <f>MATCH(Tableau6[Jours Mois]&amp;"/"&amp;Tableau6[[#Headers],[2024]],tabSuiviConso[Jour Mois Année],0)</f>
        <v>#N/A</v>
      </c>
      <c r="R186" s="35" t="str">
        <f>IF(ISNA(Tableau6[[#This Row],[Position 2024]]),"",INDEX(tabSuiviConso[HP + HC
cumul],Tableau6[[#This Row],[Position 2024]],1))</f>
        <v/>
      </c>
      <c r="S186" s="56" t="e">
        <f>IF(ISNA(Tableau6[[#This Row],[Position 2024]]),Tableau6[[#This Row],[Position 2024]],Tableau6[[#This Row],[2024]]-R$2)</f>
        <v>#N/A</v>
      </c>
      <c r="T186" s="35" t="e">
        <f>Tableau6[[#This Row],[Cumul 2024]]-Tableau6[[#This Row],[Cumul 2023]]</f>
        <v>#N/A</v>
      </c>
      <c r="U186" s="36" t="e">
        <f>Tableau6[[#This Row],[Ecart 2023 2024]]/Tableau6[[#This Row],[Cumul 2023]]</f>
        <v>#N/A</v>
      </c>
    </row>
    <row r="187" spans="1:21" x14ac:dyDescent="0.2">
      <c r="A187" s="35">
        <v>7</v>
      </c>
      <c r="B187" s="35">
        <v>3</v>
      </c>
      <c r="C187" s="35" t="str">
        <f>Tableau6[Jour]&amp;"/"&amp;Tableau6[Mois]</f>
        <v>3/7</v>
      </c>
      <c r="D187" s="35" t="e">
        <f>MATCH(Tableau6[Jours Mois]&amp;"/"&amp;Tableau6[[#Headers],[2021]],tabSuiviConso[Jour Mois Année],0)</f>
        <v>#N/A</v>
      </c>
      <c r="E187" s="35" t="str">
        <f>IF(ISNA(Tableau6[[#This Row],[Position 2021]]),"",INDEX(tabSuiviConso[HP + HC
cumul],Tableau6[[#This Row],[Position 2021]],1))</f>
        <v/>
      </c>
      <c r="F187" s="56" t="e">
        <f>IF(ISNA(Tableau6[[#This Row],[Position 2021]]),Tableau6[[#This Row],[Position 2021]],Tableau6[[#This Row],[2021]]-E$2)</f>
        <v>#N/A</v>
      </c>
      <c r="G187" s="35" t="e">
        <f>MATCH(Tableau6[Jours Mois]&amp;"/"&amp;Tableau6[[#Headers],[2022]],tabSuiviConso[Jour Mois Année],0)</f>
        <v>#N/A</v>
      </c>
      <c r="H187" s="35" t="str">
        <f>IF(ISNA(Tableau6[[#This Row],[Position 2022]]),"",INDEX(tabSuiviConso[HP + HC
cumul],Tableau6[[#This Row],[Position 2022]],1))</f>
        <v/>
      </c>
      <c r="I187" s="56" t="e">
        <f>IF(ISNA(Tableau6[[#This Row],[Position 2022]]),Tableau6[[#This Row],[Position 2022]],Tableau6[[#This Row],[2022]]-H$2)</f>
        <v>#N/A</v>
      </c>
      <c r="J187" s="35" t="e">
        <f>MATCH(Tableau6[Jours Mois]&amp;"/"&amp;Tableau6[[#Headers],[2023]],tabSuiviConso[Jour Mois Année],0)</f>
        <v>#N/A</v>
      </c>
      <c r="K187" s="35" t="e">
        <f>Tableau6[[#This Row],[Cumul 2022]]-Tableau6[[#This Row],[Cumul 2021]]</f>
        <v>#N/A</v>
      </c>
      <c r="L187" s="37" t="e">
        <f>Tableau6[[#This Row],[Ecart 2021 2022]]/Tableau6[[#This Row],[Cumul 2021]]</f>
        <v>#N/A</v>
      </c>
      <c r="M187" s="35" t="str">
        <f>IF(ISNA(Tableau6[[#This Row],[Position 2023]]),"",INDEX(tabSuiviConso[HP + HC
cumul],Tableau6[[#This Row],[Position 2023]],1))</f>
        <v/>
      </c>
      <c r="N187" s="56" t="e">
        <f>IF(ISNA(Tableau6[[#This Row],[Position 2023]]),Tableau6[[#This Row],[Position 2023]],Tableau6[[#This Row],[2023]]-M$2)</f>
        <v>#N/A</v>
      </c>
      <c r="O187" s="35" t="e">
        <f>Tableau6[[#This Row],[Cumul 2023]]-Tableau6[[#This Row],[Cumul 2022]]</f>
        <v>#N/A</v>
      </c>
      <c r="P187" s="37" t="e">
        <f>Tableau6[[#This Row],[Ecart 2022 2023]]/Tableau6[[#This Row],[Cumul 2022]]</f>
        <v>#N/A</v>
      </c>
      <c r="Q187" s="35" t="e">
        <f>MATCH(Tableau6[Jours Mois]&amp;"/"&amp;Tableau6[[#Headers],[2024]],tabSuiviConso[Jour Mois Année],0)</f>
        <v>#N/A</v>
      </c>
      <c r="R187" s="35" t="str">
        <f>IF(ISNA(Tableau6[[#This Row],[Position 2024]]),"",INDEX(tabSuiviConso[HP + HC
cumul],Tableau6[[#This Row],[Position 2024]],1))</f>
        <v/>
      </c>
      <c r="S187" s="56" t="e">
        <f>IF(ISNA(Tableau6[[#This Row],[Position 2024]]),Tableau6[[#This Row],[Position 2024]],Tableau6[[#This Row],[2024]]-R$2)</f>
        <v>#N/A</v>
      </c>
      <c r="T187" s="35" t="e">
        <f>Tableau6[[#This Row],[Cumul 2024]]-Tableau6[[#This Row],[Cumul 2023]]</f>
        <v>#N/A</v>
      </c>
      <c r="U187" s="36" t="e">
        <f>Tableau6[[#This Row],[Ecart 2023 2024]]/Tableau6[[#This Row],[Cumul 2023]]</f>
        <v>#N/A</v>
      </c>
    </row>
    <row r="188" spans="1:21" x14ac:dyDescent="0.2">
      <c r="A188" s="35">
        <v>7</v>
      </c>
      <c r="B188" s="35">
        <v>4</v>
      </c>
      <c r="C188" s="35" t="str">
        <f>Tableau6[Jour]&amp;"/"&amp;Tableau6[Mois]</f>
        <v>4/7</v>
      </c>
      <c r="D188" s="35" t="e">
        <f>MATCH(Tableau6[Jours Mois]&amp;"/"&amp;Tableau6[[#Headers],[2021]],tabSuiviConso[Jour Mois Année],0)</f>
        <v>#N/A</v>
      </c>
      <c r="E188" s="35" t="str">
        <f>IF(ISNA(Tableau6[[#This Row],[Position 2021]]),"",INDEX(tabSuiviConso[HP + HC
cumul],Tableau6[[#This Row],[Position 2021]],1))</f>
        <v/>
      </c>
      <c r="F188" s="56" t="e">
        <f>IF(ISNA(Tableau6[[#This Row],[Position 2021]]),Tableau6[[#This Row],[Position 2021]],Tableau6[[#This Row],[2021]]-E$2)</f>
        <v>#N/A</v>
      </c>
      <c r="G188" s="35" t="e">
        <f>MATCH(Tableau6[Jours Mois]&amp;"/"&amp;Tableau6[[#Headers],[2022]],tabSuiviConso[Jour Mois Année],0)</f>
        <v>#N/A</v>
      </c>
      <c r="H188" s="35" t="str">
        <f>IF(ISNA(Tableau6[[#This Row],[Position 2022]]),"",INDEX(tabSuiviConso[HP + HC
cumul],Tableau6[[#This Row],[Position 2022]],1))</f>
        <v/>
      </c>
      <c r="I188" s="56" t="e">
        <f>IF(ISNA(Tableau6[[#This Row],[Position 2022]]),Tableau6[[#This Row],[Position 2022]],Tableau6[[#This Row],[2022]]-H$2)</f>
        <v>#N/A</v>
      </c>
      <c r="J188" s="35" t="e">
        <f>MATCH(Tableau6[Jours Mois]&amp;"/"&amp;Tableau6[[#Headers],[2023]],tabSuiviConso[Jour Mois Année],0)</f>
        <v>#N/A</v>
      </c>
      <c r="K188" s="35" t="e">
        <f>Tableau6[[#This Row],[Cumul 2022]]-Tableau6[[#This Row],[Cumul 2021]]</f>
        <v>#N/A</v>
      </c>
      <c r="L188" s="37" t="e">
        <f>Tableau6[[#This Row],[Ecart 2021 2022]]/Tableau6[[#This Row],[Cumul 2021]]</f>
        <v>#N/A</v>
      </c>
      <c r="M188" s="35" t="str">
        <f>IF(ISNA(Tableau6[[#This Row],[Position 2023]]),"",INDEX(tabSuiviConso[HP + HC
cumul],Tableau6[[#This Row],[Position 2023]],1))</f>
        <v/>
      </c>
      <c r="N188" s="56" t="e">
        <f>IF(ISNA(Tableau6[[#This Row],[Position 2023]]),Tableau6[[#This Row],[Position 2023]],Tableau6[[#This Row],[2023]]-M$2)</f>
        <v>#N/A</v>
      </c>
      <c r="O188" s="35" t="e">
        <f>Tableau6[[#This Row],[Cumul 2023]]-Tableau6[[#This Row],[Cumul 2022]]</f>
        <v>#N/A</v>
      </c>
      <c r="P188" s="37" t="e">
        <f>Tableau6[[#This Row],[Ecart 2022 2023]]/Tableau6[[#This Row],[Cumul 2022]]</f>
        <v>#N/A</v>
      </c>
      <c r="Q188" s="35" t="e">
        <f>MATCH(Tableau6[Jours Mois]&amp;"/"&amp;Tableau6[[#Headers],[2024]],tabSuiviConso[Jour Mois Année],0)</f>
        <v>#N/A</v>
      </c>
      <c r="R188" s="35" t="str">
        <f>IF(ISNA(Tableau6[[#This Row],[Position 2024]]),"",INDEX(tabSuiviConso[HP + HC
cumul],Tableau6[[#This Row],[Position 2024]],1))</f>
        <v/>
      </c>
      <c r="S188" s="56" t="e">
        <f>IF(ISNA(Tableau6[[#This Row],[Position 2024]]),Tableau6[[#This Row],[Position 2024]],Tableau6[[#This Row],[2024]]-R$2)</f>
        <v>#N/A</v>
      </c>
      <c r="T188" s="35" t="e">
        <f>Tableau6[[#This Row],[Cumul 2024]]-Tableau6[[#This Row],[Cumul 2023]]</f>
        <v>#N/A</v>
      </c>
      <c r="U188" s="36" t="e">
        <f>Tableau6[[#This Row],[Ecart 2023 2024]]/Tableau6[[#This Row],[Cumul 2023]]</f>
        <v>#N/A</v>
      </c>
    </row>
    <row r="189" spans="1:21" x14ac:dyDescent="0.2">
      <c r="A189" s="35">
        <v>7</v>
      </c>
      <c r="B189" s="35">
        <v>5</v>
      </c>
      <c r="C189" s="35" t="str">
        <f>Tableau6[Jour]&amp;"/"&amp;Tableau6[Mois]</f>
        <v>5/7</v>
      </c>
      <c r="D189" s="35" t="e">
        <f>MATCH(Tableau6[Jours Mois]&amp;"/"&amp;Tableau6[[#Headers],[2021]],tabSuiviConso[Jour Mois Année],0)</f>
        <v>#N/A</v>
      </c>
      <c r="E189" s="35" t="str">
        <f>IF(ISNA(Tableau6[[#This Row],[Position 2021]]),"",INDEX(tabSuiviConso[HP + HC
cumul],Tableau6[[#This Row],[Position 2021]],1))</f>
        <v/>
      </c>
      <c r="F189" s="56" t="e">
        <f>IF(ISNA(Tableau6[[#This Row],[Position 2021]]),Tableau6[[#This Row],[Position 2021]],Tableau6[[#This Row],[2021]]-E$2)</f>
        <v>#N/A</v>
      </c>
      <c r="G189" s="35" t="e">
        <f>MATCH(Tableau6[Jours Mois]&amp;"/"&amp;Tableau6[[#Headers],[2022]],tabSuiviConso[Jour Mois Année],0)</f>
        <v>#N/A</v>
      </c>
      <c r="H189" s="35" t="str">
        <f>IF(ISNA(Tableau6[[#This Row],[Position 2022]]),"",INDEX(tabSuiviConso[HP + HC
cumul],Tableau6[[#This Row],[Position 2022]],1))</f>
        <v/>
      </c>
      <c r="I189" s="56" t="e">
        <f>IF(ISNA(Tableau6[[#This Row],[Position 2022]]),Tableau6[[#This Row],[Position 2022]],Tableau6[[#This Row],[2022]]-H$2)</f>
        <v>#N/A</v>
      </c>
      <c r="J189" s="35" t="e">
        <f>MATCH(Tableau6[Jours Mois]&amp;"/"&amp;Tableau6[[#Headers],[2023]],tabSuiviConso[Jour Mois Année],0)</f>
        <v>#N/A</v>
      </c>
      <c r="K189" s="35" t="e">
        <f>Tableau6[[#This Row],[Cumul 2022]]-Tableau6[[#This Row],[Cumul 2021]]</f>
        <v>#N/A</v>
      </c>
      <c r="L189" s="37" t="e">
        <f>Tableau6[[#This Row],[Ecart 2021 2022]]/Tableau6[[#This Row],[Cumul 2021]]</f>
        <v>#N/A</v>
      </c>
      <c r="M189" s="35" t="str">
        <f>IF(ISNA(Tableau6[[#This Row],[Position 2023]]),"",INDEX(tabSuiviConso[HP + HC
cumul],Tableau6[[#This Row],[Position 2023]],1))</f>
        <v/>
      </c>
      <c r="N189" s="56" t="e">
        <f>IF(ISNA(Tableau6[[#This Row],[Position 2023]]),Tableau6[[#This Row],[Position 2023]],Tableau6[[#This Row],[2023]]-M$2)</f>
        <v>#N/A</v>
      </c>
      <c r="O189" s="35" t="e">
        <f>Tableau6[[#This Row],[Cumul 2023]]-Tableau6[[#This Row],[Cumul 2022]]</f>
        <v>#N/A</v>
      </c>
      <c r="P189" s="37" t="e">
        <f>Tableau6[[#This Row],[Ecart 2022 2023]]/Tableau6[[#This Row],[Cumul 2022]]</f>
        <v>#N/A</v>
      </c>
      <c r="Q189" s="35" t="e">
        <f>MATCH(Tableau6[Jours Mois]&amp;"/"&amp;Tableau6[[#Headers],[2024]],tabSuiviConso[Jour Mois Année],0)</f>
        <v>#N/A</v>
      </c>
      <c r="R189" s="35" t="str">
        <f>IF(ISNA(Tableau6[[#This Row],[Position 2024]]),"",INDEX(tabSuiviConso[HP + HC
cumul],Tableau6[[#This Row],[Position 2024]],1))</f>
        <v/>
      </c>
      <c r="S189" s="56" t="e">
        <f>IF(ISNA(Tableau6[[#This Row],[Position 2024]]),Tableau6[[#This Row],[Position 2024]],Tableau6[[#This Row],[2024]]-R$2)</f>
        <v>#N/A</v>
      </c>
      <c r="T189" s="35" t="e">
        <f>Tableau6[[#This Row],[Cumul 2024]]-Tableau6[[#This Row],[Cumul 2023]]</f>
        <v>#N/A</v>
      </c>
      <c r="U189" s="36" t="e">
        <f>Tableau6[[#This Row],[Ecart 2023 2024]]/Tableau6[[#This Row],[Cumul 2023]]</f>
        <v>#N/A</v>
      </c>
    </row>
    <row r="190" spans="1:21" x14ac:dyDescent="0.2">
      <c r="A190" s="35">
        <v>7</v>
      </c>
      <c r="B190" s="35">
        <v>6</v>
      </c>
      <c r="C190" s="35" t="str">
        <f>Tableau6[Jour]&amp;"/"&amp;Tableau6[Mois]</f>
        <v>6/7</v>
      </c>
      <c r="D190" s="35" t="e">
        <f>MATCH(Tableau6[Jours Mois]&amp;"/"&amp;Tableau6[[#Headers],[2021]],tabSuiviConso[Jour Mois Année],0)</f>
        <v>#N/A</v>
      </c>
      <c r="E190" s="35" t="str">
        <f>IF(ISNA(Tableau6[[#This Row],[Position 2021]]),"",INDEX(tabSuiviConso[HP + HC
cumul],Tableau6[[#This Row],[Position 2021]],1))</f>
        <v/>
      </c>
      <c r="F190" s="56" t="e">
        <f>IF(ISNA(Tableau6[[#This Row],[Position 2021]]),Tableau6[[#This Row],[Position 2021]],Tableau6[[#This Row],[2021]]-E$2)</f>
        <v>#N/A</v>
      </c>
      <c r="G190" s="35" t="e">
        <f>MATCH(Tableau6[Jours Mois]&amp;"/"&amp;Tableau6[[#Headers],[2022]],tabSuiviConso[Jour Mois Année],0)</f>
        <v>#N/A</v>
      </c>
      <c r="H190" s="35" t="str">
        <f>IF(ISNA(Tableau6[[#This Row],[Position 2022]]),"",INDEX(tabSuiviConso[HP + HC
cumul],Tableau6[[#This Row],[Position 2022]],1))</f>
        <v/>
      </c>
      <c r="I190" s="56" t="e">
        <f>IF(ISNA(Tableau6[[#This Row],[Position 2022]]),Tableau6[[#This Row],[Position 2022]],Tableau6[[#This Row],[2022]]-H$2)</f>
        <v>#N/A</v>
      </c>
      <c r="J190" s="35" t="e">
        <f>MATCH(Tableau6[Jours Mois]&amp;"/"&amp;Tableau6[[#Headers],[2023]],tabSuiviConso[Jour Mois Année],0)</f>
        <v>#N/A</v>
      </c>
      <c r="K190" s="35" t="e">
        <f>Tableau6[[#This Row],[Cumul 2022]]-Tableau6[[#This Row],[Cumul 2021]]</f>
        <v>#N/A</v>
      </c>
      <c r="L190" s="37" t="e">
        <f>Tableau6[[#This Row],[Ecart 2021 2022]]/Tableau6[[#This Row],[Cumul 2021]]</f>
        <v>#N/A</v>
      </c>
      <c r="M190" s="35" t="str">
        <f>IF(ISNA(Tableau6[[#This Row],[Position 2023]]),"",INDEX(tabSuiviConso[HP + HC
cumul],Tableau6[[#This Row],[Position 2023]],1))</f>
        <v/>
      </c>
      <c r="N190" s="56" t="e">
        <f>IF(ISNA(Tableau6[[#This Row],[Position 2023]]),Tableau6[[#This Row],[Position 2023]],Tableau6[[#This Row],[2023]]-M$2)</f>
        <v>#N/A</v>
      </c>
      <c r="O190" s="35" t="e">
        <f>Tableau6[[#This Row],[Cumul 2023]]-Tableau6[[#This Row],[Cumul 2022]]</f>
        <v>#N/A</v>
      </c>
      <c r="P190" s="37" t="e">
        <f>Tableau6[[#This Row],[Ecart 2022 2023]]/Tableau6[[#This Row],[Cumul 2022]]</f>
        <v>#N/A</v>
      </c>
      <c r="Q190" s="35" t="e">
        <f>MATCH(Tableau6[Jours Mois]&amp;"/"&amp;Tableau6[[#Headers],[2024]],tabSuiviConso[Jour Mois Année],0)</f>
        <v>#N/A</v>
      </c>
      <c r="R190" s="35" t="str">
        <f>IF(ISNA(Tableau6[[#This Row],[Position 2024]]),"",INDEX(tabSuiviConso[HP + HC
cumul],Tableau6[[#This Row],[Position 2024]],1))</f>
        <v/>
      </c>
      <c r="S190" s="56" t="e">
        <f>IF(ISNA(Tableau6[[#This Row],[Position 2024]]),Tableau6[[#This Row],[Position 2024]],Tableau6[[#This Row],[2024]]-R$2)</f>
        <v>#N/A</v>
      </c>
      <c r="T190" s="35" t="e">
        <f>Tableau6[[#This Row],[Cumul 2024]]-Tableau6[[#This Row],[Cumul 2023]]</f>
        <v>#N/A</v>
      </c>
      <c r="U190" s="36" t="e">
        <f>Tableau6[[#This Row],[Ecart 2023 2024]]/Tableau6[[#This Row],[Cumul 2023]]</f>
        <v>#N/A</v>
      </c>
    </row>
    <row r="191" spans="1:21" x14ac:dyDescent="0.2">
      <c r="A191" s="35">
        <v>7</v>
      </c>
      <c r="B191" s="35">
        <v>7</v>
      </c>
      <c r="C191" s="35" t="str">
        <f>Tableau6[Jour]&amp;"/"&amp;Tableau6[Mois]</f>
        <v>7/7</v>
      </c>
      <c r="D191" s="35" t="e">
        <f>MATCH(Tableau6[Jours Mois]&amp;"/"&amp;Tableau6[[#Headers],[2021]],tabSuiviConso[Jour Mois Année],0)</f>
        <v>#N/A</v>
      </c>
      <c r="E191" s="35" t="str">
        <f>IF(ISNA(Tableau6[[#This Row],[Position 2021]]),"",INDEX(tabSuiviConso[HP + HC
cumul],Tableau6[[#This Row],[Position 2021]],1))</f>
        <v/>
      </c>
      <c r="F191" s="56" t="e">
        <f>IF(ISNA(Tableau6[[#This Row],[Position 2021]]),Tableau6[[#This Row],[Position 2021]],Tableau6[[#This Row],[2021]]-E$2)</f>
        <v>#N/A</v>
      </c>
      <c r="G191" s="35" t="e">
        <f>MATCH(Tableau6[Jours Mois]&amp;"/"&amp;Tableau6[[#Headers],[2022]],tabSuiviConso[Jour Mois Année],0)</f>
        <v>#N/A</v>
      </c>
      <c r="H191" s="35" t="str">
        <f>IF(ISNA(Tableau6[[#This Row],[Position 2022]]),"",INDEX(tabSuiviConso[HP + HC
cumul],Tableau6[[#This Row],[Position 2022]],1))</f>
        <v/>
      </c>
      <c r="I191" s="56" t="e">
        <f>IF(ISNA(Tableau6[[#This Row],[Position 2022]]),Tableau6[[#This Row],[Position 2022]],Tableau6[[#This Row],[2022]]-H$2)</f>
        <v>#N/A</v>
      </c>
      <c r="J191" s="35" t="e">
        <f>MATCH(Tableau6[Jours Mois]&amp;"/"&amp;Tableau6[[#Headers],[2023]],tabSuiviConso[Jour Mois Année],0)</f>
        <v>#N/A</v>
      </c>
      <c r="K191" s="35" t="e">
        <f>Tableau6[[#This Row],[Cumul 2022]]-Tableau6[[#This Row],[Cumul 2021]]</f>
        <v>#N/A</v>
      </c>
      <c r="L191" s="37" t="e">
        <f>Tableau6[[#This Row],[Ecart 2021 2022]]/Tableau6[[#This Row],[Cumul 2021]]</f>
        <v>#N/A</v>
      </c>
      <c r="M191" s="35" t="str">
        <f>IF(ISNA(Tableau6[[#This Row],[Position 2023]]),"",INDEX(tabSuiviConso[HP + HC
cumul],Tableau6[[#This Row],[Position 2023]],1))</f>
        <v/>
      </c>
      <c r="N191" s="56" t="e">
        <f>IF(ISNA(Tableau6[[#This Row],[Position 2023]]),Tableau6[[#This Row],[Position 2023]],Tableau6[[#This Row],[2023]]-M$2)</f>
        <v>#N/A</v>
      </c>
      <c r="O191" s="35" t="e">
        <f>Tableau6[[#This Row],[Cumul 2023]]-Tableau6[[#This Row],[Cumul 2022]]</f>
        <v>#N/A</v>
      </c>
      <c r="P191" s="37" t="e">
        <f>Tableau6[[#This Row],[Ecart 2022 2023]]/Tableau6[[#This Row],[Cumul 2022]]</f>
        <v>#N/A</v>
      </c>
      <c r="Q191" s="35" t="e">
        <f>MATCH(Tableau6[Jours Mois]&amp;"/"&amp;Tableau6[[#Headers],[2024]],tabSuiviConso[Jour Mois Année],0)</f>
        <v>#N/A</v>
      </c>
      <c r="R191" s="35" t="str">
        <f>IF(ISNA(Tableau6[[#This Row],[Position 2024]]),"",INDEX(tabSuiviConso[HP + HC
cumul],Tableau6[[#This Row],[Position 2024]],1))</f>
        <v/>
      </c>
      <c r="S191" s="56" t="e">
        <f>IF(ISNA(Tableau6[[#This Row],[Position 2024]]),Tableau6[[#This Row],[Position 2024]],Tableau6[[#This Row],[2024]]-R$2)</f>
        <v>#N/A</v>
      </c>
      <c r="T191" s="35" t="e">
        <f>Tableau6[[#This Row],[Cumul 2024]]-Tableau6[[#This Row],[Cumul 2023]]</f>
        <v>#N/A</v>
      </c>
      <c r="U191" s="36" t="e">
        <f>Tableau6[[#This Row],[Ecart 2023 2024]]/Tableau6[[#This Row],[Cumul 2023]]</f>
        <v>#N/A</v>
      </c>
    </row>
    <row r="192" spans="1:21" x14ac:dyDescent="0.2">
      <c r="A192" s="35">
        <v>7</v>
      </c>
      <c r="B192" s="35">
        <v>8</v>
      </c>
      <c r="C192" s="35" t="str">
        <f>Tableau6[Jour]&amp;"/"&amp;Tableau6[Mois]</f>
        <v>8/7</v>
      </c>
      <c r="D192" s="35" t="e">
        <f>MATCH(Tableau6[Jours Mois]&amp;"/"&amp;Tableau6[[#Headers],[2021]],tabSuiviConso[Jour Mois Année],0)</f>
        <v>#N/A</v>
      </c>
      <c r="E192" s="35" t="str">
        <f>IF(ISNA(Tableau6[[#This Row],[Position 2021]]),"",INDEX(tabSuiviConso[HP + HC
cumul],Tableau6[[#This Row],[Position 2021]],1))</f>
        <v/>
      </c>
      <c r="F192" s="56" t="e">
        <f>IF(ISNA(Tableau6[[#This Row],[Position 2021]]),Tableau6[[#This Row],[Position 2021]],Tableau6[[#This Row],[2021]]-E$2)</f>
        <v>#N/A</v>
      </c>
      <c r="G192" s="35" t="e">
        <f>MATCH(Tableau6[Jours Mois]&amp;"/"&amp;Tableau6[[#Headers],[2022]],tabSuiviConso[Jour Mois Année],0)</f>
        <v>#N/A</v>
      </c>
      <c r="H192" s="35" t="str">
        <f>IF(ISNA(Tableau6[[#This Row],[Position 2022]]),"",INDEX(tabSuiviConso[HP + HC
cumul],Tableau6[[#This Row],[Position 2022]],1))</f>
        <v/>
      </c>
      <c r="I192" s="56" t="e">
        <f>IF(ISNA(Tableau6[[#This Row],[Position 2022]]),Tableau6[[#This Row],[Position 2022]],Tableau6[[#This Row],[2022]]-H$2)</f>
        <v>#N/A</v>
      </c>
      <c r="J192" s="35" t="e">
        <f>MATCH(Tableau6[Jours Mois]&amp;"/"&amp;Tableau6[[#Headers],[2023]],tabSuiviConso[Jour Mois Année],0)</f>
        <v>#N/A</v>
      </c>
      <c r="K192" s="35" t="e">
        <f>Tableau6[[#This Row],[Cumul 2022]]-Tableau6[[#This Row],[Cumul 2021]]</f>
        <v>#N/A</v>
      </c>
      <c r="L192" s="37" t="e">
        <f>Tableau6[[#This Row],[Ecart 2021 2022]]/Tableau6[[#This Row],[Cumul 2021]]</f>
        <v>#N/A</v>
      </c>
      <c r="M192" s="35" t="str">
        <f>IF(ISNA(Tableau6[[#This Row],[Position 2023]]),"",INDEX(tabSuiviConso[HP + HC
cumul],Tableau6[[#This Row],[Position 2023]],1))</f>
        <v/>
      </c>
      <c r="N192" s="56" t="e">
        <f>IF(ISNA(Tableau6[[#This Row],[Position 2023]]),Tableau6[[#This Row],[Position 2023]],Tableau6[[#This Row],[2023]]-M$2)</f>
        <v>#N/A</v>
      </c>
      <c r="O192" s="35" t="e">
        <f>Tableau6[[#This Row],[Cumul 2023]]-Tableau6[[#This Row],[Cumul 2022]]</f>
        <v>#N/A</v>
      </c>
      <c r="P192" s="37" t="e">
        <f>Tableau6[[#This Row],[Ecart 2022 2023]]/Tableau6[[#This Row],[Cumul 2022]]</f>
        <v>#N/A</v>
      </c>
      <c r="Q192" s="35" t="e">
        <f>MATCH(Tableau6[Jours Mois]&amp;"/"&amp;Tableau6[[#Headers],[2024]],tabSuiviConso[Jour Mois Année],0)</f>
        <v>#N/A</v>
      </c>
      <c r="R192" s="35" t="str">
        <f>IF(ISNA(Tableau6[[#This Row],[Position 2024]]),"",INDEX(tabSuiviConso[HP + HC
cumul],Tableau6[[#This Row],[Position 2024]],1))</f>
        <v/>
      </c>
      <c r="S192" s="56" t="e">
        <f>IF(ISNA(Tableau6[[#This Row],[Position 2024]]),Tableau6[[#This Row],[Position 2024]],Tableau6[[#This Row],[2024]]-R$2)</f>
        <v>#N/A</v>
      </c>
      <c r="T192" s="35" t="e">
        <f>Tableau6[[#This Row],[Cumul 2024]]-Tableau6[[#This Row],[Cumul 2023]]</f>
        <v>#N/A</v>
      </c>
      <c r="U192" s="36" t="e">
        <f>Tableau6[[#This Row],[Ecart 2023 2024]]/Tableau6[[#This Row],[Cumul 2023]]</f>
        <v>#N/A</v>
      </c>
    </row>
    <row r="193" spans="1:21" x14ac:dyDescent="0.2">
      <c r="A193" s="35">
        <v>7</v>
      </c>
      <c r="B193" s="35">
        <v>9</v>
      </c>
      <c r="C193" s="35" t="str">
        <f>Tableau6[Jour]&amp;"/"&amp;Tableau6[Mois]</f>
        <v>9/7</v>
      </c>
      <c r="D193" s="35" t="e">
        <f>MATCH(Tableau6[Jours Mois]&amp;"/"&amp;Tableau6[[#Headers],[2021]],tabSuiviConso[Jour Mois Année],0)</f>
        <v>#N/A</v>
      </c>
      <c r="E193" s="35" t="str">
        <f>IF(ISNA(Tableau6[[#This Row],[Position 2021]]),"",INDEX(tabSuiviConso[HP + HC
cumul],Tableau6[[#This Row],[Position 2021]],1))</f>
        <v/>
      </c>
      <c r="F193" s="56" t="e">
        <f>IF(ISNA(Tableau6[[#This Row],[Position 2021]]),Tableau6[[#This Row],[Position 2021]],Tableau6[[#This Row],[2021]]-E$2)</f>
        <v>#N/A</v>
      </c>
      <c r="G193" s="35" t="e">
        <f>MATCH(Tableau6[Jours Mois]&amp;"/"&amp;Tableau6[[#Headers],[2022]],tabSuiviConso[Jour Mois Année],0)</f>
        <v>#N/A</v>
      </c>
      <c r="H193" s="35" t="str">
        <f>IF(ISNA(Tableau6[[#This Row],[Position 2022]]),"",INDEX(tabSuiviConso[HP + HC
cumul],Tableau6[[#This Row],[Position 2022]],1))</f>
        <v/>
      </c>
      <c r="I193" s="56" t="e">
        <f>IF(ISNA(Tableau6[[#This Row],[Position 2022]]),Tableau6[[#This Row],[Position 2022]],Tableau6[[#This Row],[2022]]-H$2)</f>
        <v>#N/A</v>
      </c>
      <c r="J193" s="35" t="e">
        <f>MATCH(Tableau6[Jours Mois]&amp;"/"&amp;Tableau6[[#Headers],[2023]],tabSuiviConso[Jour Mois Année],0)</f>
        <v>#N/A</v>
      </c>
      <c r="K193" s="35" t="e">
        <f>Tableau6[[#This Row],[Cumul 2022]]-Tableau6[[#This Row],[Cumul 2021]]</f>
        <v>#N/A</v>
      </c>
      <c r="L193" s="37" t="e">
        <f>Tableau6[[#This Row],[Ecart 2021 2022]]/Tableau6[[#This Row],[Cumul 2021]]</f>
        <v>#N/A</v>
      </c>
      <c r="M193" s="35" t="str">
        <f>IF(ISNA(Tableau6[[#This Row],[Position 2023]]),"",INDEX(tabSuiviConso[HP + HC
cumul],Tableau6[[#This Row],[Position 2023]],1))</f>
        <v/>
      </c>
      <c r="N193" s="56" t="e">
        <f>IF(ISNA(Tableau6[[#This Row],[Position 2023]]),Tableau6[[#This Row],[Position 2023]],Tableau6[[#This Row],[2023]]-M$2)</f>
        <v>#N/A</v>
      </c>
      <c r="O193" s="35" t="e">
        <f>Tableau6[[#This Row],[Cumul 2023]]-Tableau6[[#This Row],[Cumul 2022]]</f>
        <v>#N/A</v>
      </c>
      <c r="P193" s="37" t="e">
        <f>Tableau6[[#This Row],[Ecart 2022 2023]]/Tableau6[[#This Row],[Cumul 2022]]</f>
        <v>#N/A</v>
      </c>
      <c r="Q193" s="35" t="e">
        <f>MATCH(Tableau6[Jours Mois]&amp;"/"&amp;Tableau6[[#Headers],[2024]],tabSuiviConso[Jour Mois Année],0)</f>
        <v>#N/A</v>
      </c>
      <c r="R193" s="35" t="str">
        <f>IF(ISNA(Tableau6[[#This Row],[Position 2024]]),"",INDEX(tabSuiviConso[HP + HC
cumul],Tableau6[[#This Row],[Position 2024]],1))</f>
        <v/>
      </c>
      <c r="S193" s="56" t="e">
        <f>IF(ISNA(Tableau6[[#This Row],[Position 2024]]),Tableau6[[#This Row],[Position 2024]],Tableau6[[#This Row],[2024]]-R$2)</f>
        <v>#N/A</v>
      </c>
      <c r="T193" s="35" t="e">
        <f>Tableau6[[#This Row],[Cumul 2024]]-Tableau6[[#This Row],[Cumul 2023]]</f>
        <v>#N/A</v>
      </c>
      <c r="U193" s="36" t="e">
        <f>Tableau6[[#This Row],[Ecart 2023 2024]]/Tableau6[[#This Row],[Cumul 2023]]</f>
        <v>#N/A</v>
      </c>
    </row>
    <row r="194" spans="1:21" x14ac:dyDescent="0.2">
      <c r="A194" s="35">
        <v>7</v>
      </c>
      <c r="B194" s="35">
        <v>10</v>
      </c>
      <c r="C194" s="35" t="str">
        <f>Tableau6[Jour]&amp;"/"&amp;Tableau6[Mois]</f>
        <v>10/7</v>
      </c>
      <c r="D194" s="35" t="e">
        <f>MATCH(Tableau6[Jours Mois]&amp;"/"&amp;Tableau6[[#Headers],[2021]],tabSuiviConso[Jour Mois Année],0)</f>
        <v>#N/A</v>
      </c>
      <c r="E194" s="35" t="str">
        <f>IF(ISNA(Tableau6[[#This Row],[Position 2021]]),"",INDEX(tabSuiviConso[HP + HC
cumul],Tableau6[[#This Row],[Position 2021]],1))</f>
        <v/>
      </c>
      <c r="F194" s="56" t="e">
        <f>IF(ISNA(Tableau6[[#This Row],[Position 2021]]),Tableau6[[#This Row],[Position 2021]],Tableau6[[#This Row],[2021]]-E$2)</f>
        <v>#N/A</v>
      </c>
      <c r="G194" s="35" t="e">
        <f>MATCH(Tableau6[Jours Mois]&amp;"/"&amp;Tableau6[[#Headers],[2022]],tabSuiviConso[Jour Mois Année],0)</f>
        <v>#N/A</v>
      </c>
      <c r="H194" s="35" t="str">
        <f>IF(ISNA(Tableau6[[#This Row],[Position 2022]]),"",INDEX(tabSuiviConso[HP + HC
cumul],Tableau6[[#This Row],[Position 2022]],1))</f>
        <v/>
      </c>
      <c r="I194" s="56" t="e">
        <f>IF(ISNA(Tableau6[[#This Row],[Position 2022]]),Tableau6[[#This Row],[Position 2022]],Tableau6[[#This Row],[2022]]-H$2)</f>
        <v>#N/A</v>
      </c>
      <c r="J194" s="35" t="e">
        <f>MATCH(Tableau6[Jours Mois]&amp;"/"&amp;Tableau6[[#Headers],[2023]],tabSuiviConso[Jour Mois Année],0)</f>
        <v>#N/A</v>
      </c>
      <c r="K194" s="35" t="e">
        <f>Tableau6[[#This Row],[Cumul 2022]]-Tableau6[[#This Row],[Cumul 2021]]</f>
        <v>#N/A</v>
      </c>
      <c r="L194" s="37" t="e">
        <f>Tableau6[[#This Row],[Ecart 2021 2022]]/Tableau6[[#This Row],[Cumul 2021]]</f>
        <v>#N/A</v>
      </c>
      <c r="M194" s="35" t="str">
        <f>IF(ISNA(Tableau6[[#This Row],[Position 2023]]),"",INDEX(tabSuiviConso[HP + HC
cumul],Tableau6[[#This Row],[Position 2023]],1))</f>
        <v/>
      </c>
      <c r="N194" s="56" t="e">
        <f>IF(ISNA(Tableau6[[#This Row],[Position 2023]]),Tableau6[[#This Row],[Position 2023]],Tableau6[[#This Row],[2023]]-M$2)</f>
        <v>#N/A</v>
      </c>
      <c r="O194" s="35" t="e">
        <f>Tableau6[[#This Row],[Cumul 2023]]-Tableau6[[#This Row],[Cumul 2022]]</f>
        <v>#N/A</v>
      </c>
      <c r="P194" s="37" t="e">
        <f>Tableau6[[#This Row],[Ecart 2022 2023]]/Tableau6[[#This Row],[Cumul 2022]]</f>
        <v>#N/A</v>
      </c>
      <c r="Q194" s="35" t="e">
        <f>MATCH(Tableau6[Jours Mois]&amp;"/"&amp;Tableau6[[#Headers],[2024]],tabSuiviConso[Jour Mois Année],0)</f>
        <v>#N/A</v>
      </c>
      <c r="R194" s="35" t="str">
        <f>IF(ISNA(Tableau6[[#This Row],[Position 2024]]),"",INDEX(tabSuiviConso[HP + HC
cumul],Tableau6[[#This Row],[Position 2024]],1))</f>
        <v/>
      </c>
      <c r="S194" s="56" t="e">
        <f>IF(ISNA(Tableau6[[#This Row],[Position 2024]]),Tableau6[[#This Row],[Position 2024]],Tableau6[[#This Row],[2024]]-R$2)</f>
        <v>#N/A</v>
      </c>
      <c r="T194" s="35" t="e">
        <f>Tableau6[[#This Row],[Cumul 2024]]-Tableau6[[#This Row],[Cumul 2023]]</f>
        <v>#N/A</v>
      </c>
      <c r="U194" s="36" t="e">
        <f>Tableau6[[#This Row],[Ecart 2023 2024]]/Tableau6[[#This Row],[Cumul 2023]]</f>
        <v>#N/A</v>
      </c>
    </row>
    <row r="195" spans="1:21" x14ac:dyDescent="0.2">
      <c r="A195" s="35">
        <v>7</v>
      </c>
      <c r="B195" s="35">
        <v>11</v>
      </c>
      <c r="C195" s="35" t="str">
        <f>Tableau6[Jour]&amp;"/"&amp;Tableau6[Mois]</f>
        <v>11/7</v>
      </c>
      <c r="D195" s="35" t="e">
        <f>MATCH(Tableau6[Jours Mois]&amp;"/"&amp;Tableau6[[#Headers],[2021]],tabSuiviConso[Jour Mois Année],0)</f>
        <v>#N/A</v>
      </c>
      <c r="E195" s="35" t="str">
        <f>IF(ISNA(Tableau6[[#This Row],[Position 2021]]),"",INDEX(tabSuiviConso[HP + HC
cumul],Tableau6[[#This Row],[Position 2021]],1))</f>
        <v/>
      </c>
      <c r="F195" s="56" t="e">
        <f>IF(ISNA(Tableau6[[#This Row],[Position 2021]]),Tableau6[[#This Row],[Position 2021]],Tableau6[[#This Row],[2021]]-E$2)</f>
        <v>#N/A</v>
      </c>
      <c r="G195" s="35" t="e">
        <f>MATCH(Tableau6[Jours Mois]&amp;"/"&amp;Tableau6[[#Headers],[2022]],tabSuiviConso[Jour Mois Année],0)</f>
        <v>#N/A</v>
      </c>
      <c r="H195" s="35" t="str">
        <f>IF(ISNA(Tableau6[[#This Row],[Position 2022]]),"",INDEX(tabSuiviConso[HP + HC
cumul],Tableau6[[#This Row],[Position 2022]],1))</f>
        <v/>
      </c>
      <c r="I195" s="56" t="e">
        <f>IF(ISNA(Tableau6[[#This Row],[Position 2022]]),Tableau6[[#This Row],[Position 2022]],Tableau6[[#This Row],[2022]]-H$2)</f>
        <v>#N/A</v>
      </c>
      <c r="J195" s="35" t="e">
        <f>MATCH(Tableau6[Jours Mois]&amp;"/"&amp;Tableau6[[#Headers],[2023]],tabSuiviConso[Jour Mois Année],0)</f>
        <v>#N/A</v>
      </c>
      <c r="K195" s="35" t="e">
        <f>Tableau6[[#This Row],[Cumul 2022]]-Tableau6[[#This Row],[Cumul 2021]]</f>
        <v>#N/A</v>
      </c>
      <c r="L195" s="37" t="e">
        <f>Tableau6[[#This Row],[Ecart 2021 2022]]/Tableau6[[#This Row],[Cumul 2021]]</f>
        <v>#N/A</v>
      </c>
      <c r="M195" s="35" t="str">
        <f>IF(ISNA(Tableau6[[#This Row],[Position 2023]]),"",INDEX(tabSuiviConso[HP + HC
cumul],Tableau6[[#This Row],[Position 2023]],1))</f>
        <v/>
      </c>
      <c r="N195" s="56" t="e">
        <f>IF(ISNA(Tableau6[[#This Row],[Position 2023]]),Tableau6[[#This Row],[Position 2023]],Tableau6[[#This Row],[2023]]-M$2)</f>
        <v>#N/A</v>
      </c>
      <c r="O195" s="35" t="e">
        <f>Tableau6[[#This Row],[Cumul 2023]]-Tableau6[[#This Row],[Cumul 2022]]</f>
        <v>#N/A</v>
      </c>
      <c r="P195" s="37" t="e">
        <f>Tableau6[[#This Row],[Ecart 2022 2023]]/Tableau6[[#This Row],[Cumul 2022]]</f>
        <v>#N/A</v>
      </c>
      <c r="Q195" s="35" t="e">
        <f>MATCH(Tableau6[Jours Mois]&amp;"/"&amp;Tableau6[[#Headers],[2024]],tabSuiviConso[Jour Mois Année],0)</f>
        <v>#N/A</v>
      </c>
      <c r="R195" s="35" t="str">
        <f>IF(ISNA(Tableau6[[#This Row],[Position 2024]]),"",INDEX(tabSuiviConso[HP + HC
cumul],Tableau6[[#This Row],[Position 2024]],1))</f>
        <v/>
      </c>
      <c r="S195" s="56" t="e">
        <f>IF(ISNA(Tableau6[[#This Row],[Position 2024]]),Tableau6[[#This Row],[Position 2024]],Tableau6[[#This Row],[2024]]-R$2)</f>
        <v>#N/A</v>
      </c>
      <c r="T195" s="35" t="e">
        <f>Tableau6[[#This Row],[Cumul 2024]]-Tableau6[[#This Row],[Cumul 2023]]</f>
        <v>#N/A</v>
      </c>
      <c r="U195" s="36" t="e">
        <f>Tableau6[[#This Row],[Ecart 2023 2024]]/Tableau6[[#This Row],[Cumul 2023]]</f>
        <v>#N/A</v>
      </c>
    </row>
    <row r="196" spans="1:21" x14ac:dyDescent="0.2">
      <c r="A196" s="35">
        <v>7</v>
      </c>
      <c r="B196" s="35">
        <v>12</v>
      </c>
      <c r="C196" s="35" t="str">
        <f>Tableau6[Jour]&amp;"/"&amp;Tableau6[Mois]</f>
        <v>12/7</v>
      </c>
      <c r="D196" s="35" t="e">
        <f>MATCH(Tableau6[Jours Mois]&amp;"/"&amp;Tableau6[[#Headers],[2021]],tabSuiviConso[Jour Mois Année],0)</f>
        <v>#N/A</v>
      </c>
      <c r="E196" s="35" t="str">
        <f>IF(ISNA(Tableau6[[#This Row],[Position 2021]]),"",INDEX(tabSuiviConso[HP + HC
cumul],Tableau6[[#This Row],[Position 2021]],1))</f>
        <v/>
      </c>
      <c r="F196" s="56" t="e">
        <f>IF(ISNA(Tableau6[[#This Row],[Position 2021]]),Tableau6[[#This Row],[Position 2021]],Tableau6[[#This Row],[2021]]-E$2)</f>
        <v>#N/A</v>
      </c>
      <c r="G196" s="35" t="e">
        <f>MATCH(Tableau6[Jours Mois]&amp;"/"&amp;Tableau6[[#Headers],[2022]],tabSuiviConso[Jour Mois Année],0)</f>
        <v>#N/A</v>
      </c>
      <c r="H196" s="35" t="str">
        <f>IF(ISNA(Tableau6[[#This Row],[Position 2022]]),"",INDEX(tabSuiviConso[HP + HC
cumul],Tableau6[[#This Row],[Position 2022]],1))</f>
        <v/>
      </c>
      <c r="I196" s="56" t="e">
        <f>IF(ISNA(Tableau6[[#This Row],[Position 2022]]),Tableau6[[#This Row],[Position 2022]],Tableau6[[#This Row],[2022]]-H$2)</f>
        <v>#N/A</v>
      </c>
      <c r="J196" s="35" t="e">
        <f>MATCH(Tableau6[Jours Mois]&amp;"/"&amp;Tableau6[[#Headers],[2023]],tabSuiviConso[Jour Mois Année],0)</f>
        <v>#N/A</v>
      </c>
      <c r="K196" s="35" t="e">
        <f>Tableau6[[#This Row],[Cumul 2022]]-Tableau6[[#This Row],[Cumul 2021]]</f>
        <v>#N/A</v>
      </c>
      <c r="L196" s="37" t="e">
        <f>Tableau6[[#This Row],[Ecart 2021 2022]]/Tableau6[[#This Row],[Cumul 2021]]</f>
        <v>#N/A</v>
      </c>
      <c r="M196" s="35" t="str">
        <f>IF(ISNA(Tableau6[[#This Row],[Position 2023]]),"",INDEX(tabSuiviConso[HP + HC
cumul],Tableau6[[#This Row],[Position 2023]],1))</f>
        <v/>
      </c>
      <c r="N196" s="56" t="e">
        <f>IF(ISNA(Tableau6[[#This Row],[Position 2023]]),Tableau6[[#This Row],[Position 2023]],Tableau6[[#This Row],[2023]]-M$2)</f>
        <v>#N/A</v>
      </c>
      <c r="O196" s="35" t="e">
        <f>Tableau6[[#This Row],[Cumul 2023]]-Tableau6[[#This Row],[Cumul 2022]]</f>
        <v>#N/A</v>
      </c>
      <c r="P196" s="37" t="e">
        <f>Tableau6[[#This Row],[Ecart 2022 2023]]/Tableau6[[#This Row],[Cumul 2022]]</f>
        <v>#N/A</v>
      </c>
      <c r="Q196" s="35" t="e">
        <f>MATCH(Tableau6[Jours Mois]&amp;"/"&amp;Tableau6[[#Headers],[2024]],tabSuiviConso[Jour Mois Année],0)</f>
        <v>#N/A</v>
      </c>
      <c r="R196" s="35" t="str">
        <f>IF(ISNA(Tableau6[[#This Row],[Position 2024]]),"",INDEX(tabSuiviConso[HP + HC
cumul],Tableau6[[#This Row],[Position 2024]],1))</f>
        <v/>
      </c>
      <c r="S196" s="56" t="e">
        <f>IF(ISNA(Tableau6[[#This Row],[Position 2024]]),Tableau6[[#This Row],[Position 2024]],Tableau6[[#This Row],[2024]]-R$2)</f>
        <v>#N/A</v>
      </c>
      <c r="T196" s="35" t="e">
        <f>Tableau6[[#This Row],[Cumul 2024]]-Tableau6[[#This Row],[Cumul 2023]]</f>
        <v>#N/A</v>
      </c>
      <c r="U196" s="36" t="e">
        <f>Tableau6[[#This Row],[Ecart 2023 2024]]/Tableau6[[#This Row],[Cumul 2023]]</f>
        <v>#N/A</v>
      </c>
    </row>
    <row r="197" spans="1:21" x14ac:dyDescent="0.2">
      <c r="A197" s="35">
        <v>7</v>
      </c>
      <c r="B197" s="35">
        <v>13</v>
      </c>
      <c r="C197" s="35" t="str">
        <f>Tableau6[Jour]&amp;"/"&amp;Tableau6[Mois]</f>
        <v>13/7</v>
      </c>
      <c r="D197" s="35" t="e">
        <f>MATCH(Tableau6[Jours Mois]&amp;"/"&amp;Tableau6[[#Headers],[2021]],tabSuiviConso[Jour Mois Année],0)</f>
        <v>#N/A</v>
      </c>
      <c r="E197" s="35" t="str">
        <f>IF(ISNA(Tableau6[[#This Row],[Position 2021]]),"",INDEX(tabSuiviConso[HP + HC
cumul],Tableau6[[#This Row],[Position 2021]],1))</f>
        <v/>
      </c>
      <c r="F197" s="56" t="e">
        <f>IF(ISNA(Tableau6[[#This Row],[Position 2021]]),Tableau6[[#This Row],[Position 2021]],Tableau6[[#This Row],[2021]]-E$2)</f>
        <v>#N/A</v>
      </c>
      <c r="G197" s="35" t="e">
        <f>MATCH(Tableau6[Jours Mois]&amp;"/"&amp;Tableau6[[#Headers],[2022]],tabSuiviConso[Jour Mois Année],0)</f>
        <v>#N/A</v>
      </c>
      <c r="H197" s="35" t="str">
        <f>IF(ISNA(Tableau6[[#This Row],[Position 2022]]),"",INDEX(tabSuiviConso[HP + HC
cumul],Tableau6[[#This Row],[Position 2022]],1))</f>
        <v/>
      </c>
      <c r="I197" s="56" t="e">
        <f>IF(ISNA(Tableau6[[#This Row],[Position 2022]]),Tableau6[[#This Row],[Position 2022]],Tableau6[[#This Row],[2022]]-H$2)</f>
        <v>#N/A</v>
      </c>
      <c r="J197" s="35" t="e">
        <f>MATCH(Tableau6[Jours Mois]&amp;"/"&amp;Tableau6[[#Headers],[2023]],tabSuiviConso[Jour Mois Année],0)</f>
        <v>#N/A</v>
      </c>
      <c r="K197" s="35" t="e">
        <f>Tableau6[[#This Row],[Cumul 2022]]-Tableau6[[#This Row],[Cumul 2021]]</f>
        <v>#N/A</v>
      </c>
      <c r="L197" s="37" t="e">
        <f>Tableau6[[#This Row],[Ecart 2021 2022]]/Tableau6[[#This Row],[Cumul 2021]]</f>
        <v>#N/A</v>
      </c>
      <c r="M197" s="35" t="str">
        <f>IF(ISNA(Tableau6[[#This Row],[Position 2023]]),"",INDEX(tabSuiviConso[HP + HC
cumul],Tableau6[[#This Row],[Position 2023]],1))</f>
        <v/>
      </c>
      <c r="N197" s="56" t="e">
        <f>IF(ISNA(Tableau6[[#This Row],[Position 2023]]),Tableau6[[#This Row],[Position 2023]],Tableau6[[#This Row],[2023]]-M$2)</f>
        <v>#N/A</v>
      </c>
      <c r="O197" s="35" t="e">
        <f>Tableau6[[#This Row],[Cumul 2023]]-Tableau6[[#This Row],[Cumul 2022]]</f>
        <v>#N/A</v>
      </c>
      <c r="P197" s="37" t="e">
        <f>Tableau6[[#This Row],[Ecart 2022 2023]]/Tableau6[[#This Row],[Cumul 2022]]</f>
        <v>#N/A</v>
      </c>
      <c r="Q197" s="35" t="e">
        <f>MATCH(Tableau6[Jours Mois]&amp;"/"&amp;Tableau6[[#Headers],[2024]],tabSuiviConso[Jour Mois Année],0)</f>
        <v>#N/A</v>
      </c>
      <c r="R197" s="35" t="str">
        <f>IF(ISNA(Tableau6[[#This Row],[Position 2024]]),"",INDEX(tabSuiviConso[HP + HC
cumul],Tableau6[[#This Row],[Position 2024]],1))</f>
        <v/>
      </c>
      <c r="S197" s="56" t="e">
        <f>IF(ISNA(Tableau6[[#This Row],[Position 2024]]),Tableau6[[#This Row],[Position 2024]],Tableau6[[#This Row],[2024]]-R$2)</f>
        <v>#N/A</v>
      </c>
      <c r="T197" s="35" t="e">
        <f>Tableau6[[#This Row],[Cumul 2024]]-Tableau6[[#This Row],[Cumul 2023]]</f>
        <v>#N/A</v>
      </c>
      <c r="U197" s="36" t="e">
        <f>Tableau6[[#This Row],[Ecart 2023 2024]]/Tableau6[[#This Row],[Cumul 2023]]</f>
        <v>#N/A</v>
      </c>
    </row>
    <row r="198" spans="1:21" x14ac:dyDescent="0.2">
      <c r="A198" s="35">
        <v>7</v>
      </c>
      <c r="B198" s="35">
        <v>14</v>
      </c>
      <c r="C198" s="35" t="str">
        <f>Tableau6[Jour]&amp;"/"&amp;Tableau6[Mois]</f>
        <v>14/7</v>
      </c>
      <c r="D198" s="35" t="e">
        <f>MATCH(Tableau6[Jours Mois]&amp;"/"&amp;Tableau6[[#Headers],[2021]],tabSuiviConso[Jour Mois Année],0)</f>
        <v>#N/A</v>
      </c>
      <c r="E198" s="35" t="str">
        <f>IF(ISNA(Tableau6[[#This Row],[Position 2021]]),"",INDEX(tabSuiviConso[HP + HC
cumul],Tableau6[[#This Row],[Position 2021]],1))</f>
        <v/>
      </c>
      <c r="F198" s="56" t="e">
        <f>IF(ISNA(Tableau6[[#This Row],[Position 2021]]),Tableau6[[#This Row],[Position 2021]],Tableau6[[#This Row],[2021]]-E$2)</f>
        <v>#N/A</v>
      </c>
      <c r="G198" s="35" t="e">
        <f>MATCH(Tableau6[Jours Mois]&amp;"/"&amp;Tableau6[[#Headers],[2022]],tabSuiviConso[Jour Mois Année],0)</f>
        <v>#N/A</v>
      </c>
      <c r="H198" s="35" t="str">
        <f>IF(ISNA(Tableau6[[#This Row],[Position 2022]]),"",INDEX(tabSuiviConso[HP + HC
cumul],Tableau6[[#This Row],[Position 2022]],1))</f>
        <v/>
      </c>
      <c r="I198" s="56" t="e">
        <f>IF(ISNA(Tableau6[[#This Row],[Position 2022]]),Tableau6[[#This Row],[Position 2022]],Tableau6[[#This Row],[2022]]-H$2)</f>
        <v>#N/A</v>
      </c>
      <c r="J198" s="35" t="e">
        <f>MATCH(Tableau6[Jours Mois]&amp;"/"&amp;Tableau6[[#Headers],[2023]],tabSuiviConso[Jour Mois Année],0)</f>
        <v>#N/A</v>
      </c>
      <c r="K198" s="35" t="e">
        <f>Tableau6[[#This Row],[Cumul 2022]]-Tableau6[[#This Row],[Cumul 2021]]</f>
        <v>#N/A</v>
      </c>
      <c r="L198" s="37" t="e">
        <f>Tableau6[[#This Row],[Ecart 2021 2022]]/Tableau6[[#This Row],[Cumul 2021]]</f>
        <v>#N/A</v>
      </c>
      <c r="M198" s="35" t="str">
        <f>IF(ISNA(Tableau6[[#This Row],[Position 2023]]),"",INDEX(tabSuiviConso[HP + HC
cumul],Tableau6[[#This Row],[Position 2023]],1))</f>
        <v/>
      </c>
      <c r="N198" s="56" t="e">
        <f>IF(ISNA(Tableau6[[#This Row],[Position 2023]]),Tableau6[[#This Row],[Position 2023]],Tableau6[[#This Row],[2023]]-M$2)</f>
        <v>#N/A</v>
      </c>
      <c r="O198" s="35" t="e">
        <f>Tableau6[[#This Row],[Cumul 2023]]-Tableau6[[#This Row],[Cumul 2022]]</f>
        <v>#N/A</v>
      </c>
      <c r="P198" s="37" t="e">
        <f>Tableau6[[#This Row],[Ecart 2022 2023]]/Tableau6[[#This Row],[Cumul 2022]]</f>
        <v>#N/A</v>
      </c>
      <c r="Q198" s="35" t="e">
        <f>MATCH(Tableau6[Jours Mois]&amp;"/"&amp;Tableau6[[#Headers],[2024]],tabSuiviConso[Jour Mois Année],0)</f>
        <v>#N/A</v>
      </c>
      <c r="R198" s="35" t="str">
        <f>IF(ISNA(Tableau6[[#This Row],[Position 2024]]),"",INDEX(tabSuiviConso[HP + HC
cumul],Tableau6[[#This Row],[Position 2024]],1))</f>
        <v/>
      </c>
      <c r="S198" s="56" t="e">
        <f>IF(ISNA(Tableau6[[#This Row],[Position 2024]]),Tableau6[[#This Row],[Position 2024]],Tableau6[[#This Row],[2024]]-R$2)</f>
        <v>#N/A</v>
      </c>
      <c r="T198" s="35" t="e">
        <f>Tableau6[[#This Row],[Cumul 2024]]-Tableau6[[#This Row],[Cumul 2023]]</f>
        <v>#N/A</v>
      </c>
      <c r="U198" s="36" t="e">
        <f>Tableau6[[#This Row],[Ecart 2023 2024]]/Tableau6[[#This Row],[Cumul 2023]]</f>
        <v>#N/A</v>
      </c>
    </row>
    <row r="199" spans="1:21" x14ac:dyDescent="0.2">
      <c r="A199" s="35">
        <v>7</v>
      </c>
      <c r="B199" s="35">
        <v>15</v>
      </c>
      <c r="C199" s="35" t="str">
        <f>Tableau6[Jour]&amp;"/"&amp;Tableau6[Mois]</f>
        <v>15/7</v>
      </c>
      <c r="D199" s="35" t="e">
        <f>MATCH(Tableau6[Jours Mois]&amp;"/"&amp;Tableau6[[#Headers],[2021]],tabSuiviConso[Jour Mois Année],0)</f>
        <v>#N/A</v>
      </c>
      <c r="E199" s="35" t="str">
        <f>IF(ISNA(Tableau6[[#This Row],[Position 2021]]),"",INDEX(tabSuiviConso[HP + HC
cumul],Tableau6[[#This Row],[Position 2021]],1))</f>
        <v/>
      </c>
      <c r="F199" s="56" t="e">
        <f>IF(ISNA(Tableau6[[#This Row],[Position 2021]]),Tableau6[[#This Row],[Position 2021]],Tableau6[[#This Row],[2021]]-E$2)</f>
        <v>#N/A</v>
      </c>
      <c r="G199" s="35" t="e">
        <f>MATCH(Tableau6[Jours Mois]&amp;"/"&amp;Tableau6[[#Headers],[2022]],tabSuiviConso[Jour Mois Année],0)</f>
        <v>#N/A</v>
      </c>
      <c r="H199" s="35" t="str">
        <f>IF(ISNA(Tableau6[[#This Row],[Position 2022]]),"",INDEX(tabSuiviConso[HP + HC
cumul],Tableau6[[#This Row],[Position 2022]],1))</f>
        <v/>
      </c>
      <c r="I199" s="56" t="e">
        <f>IF(ISNA(Tableau6[[#This Row],[Position 2022]]),Tableau6[[#This Row],[Position 2022]],Tableau6[[#This Row],[2022]]-H$2)</f>
        <v>#N/A</v>
      </c>
      <c r="J199" s="35" t="e">
        <f>MATCH(Tableau6[Jours Mois]&amp;"/"&amp;Tableau6[[#Headers],[2023]],tabSuiviConso[Jour Mois Année],0)</f>
        <v>#N/A</v>
      </c>
      <c r="K199" s="35" t="e">
        <f>Tableau6[[#This Row],[Cumul 2022]]-Tableau6[[#This Row],[Cumul 2021]]</f>
        <v>#N/A</v>
      </c>
      <c r="L199" s="37" t="e">
        <f>Tableau6[[#This Row],[Ecart 2021 2022]]/Tableau6[[#This Row],[Cumul 2021]]</f>
        <v>#N/A</v>
      </c>
      <c r="M199" s="35" t="str">
        <f>IF(ISNA(Tableau6[[#This Row],[Position 2023]]),"",INDEX(tabSuiviConso[HP + HC
cumul],Tableau6[[#This Row],[Position 2023]],1))</f>
        <v/>
      </c>
      <c r="N199" s="56" t="e">
        <f>IF(ISNA(Tableau6[[#This Row],[Position 2023]]),Tableau6[[#This Row],[Position 2023]],Tableau6[[#This Row],[2023]]-M$2)</f>
        <v>#N/A</v>
      </c>
      <c r="O199" s="35" t="e">
        <f>Tableau6[[#This Row],[Cumul 2023]]-Tableau6[[#This Row],[Cumul 2022]]</f>
        <v>#N/A</v>
      </c>
      <c r="P199" s="37" t="e">
        <f>Tableau6[[#This Row],[Ecart 2022 2023]]/Tableau6[[#This Row],[Cumul 2022]]</f>
        <v>#N/A</v>
      </c>
      <c r="Q199" s="35" t="e">
        <f>MATCH(Tableau6[Jours Mois]&amp;"/"&amp;Tableau6[[#Headers],[2024]],tabSuiviConso[Jour Mois Année],0)</f>
        <v>#N/A</v>
      </c>
      <c r="R199" s="35" t="str">
        <f>IF(ISNA(Tableau6[[#This Row],[Position 2024]]),"",INDEX(tabSuiviConso[HP + HC
cumul],Tableau6[[#This Row],[Position 2024]],1))</f>
        <v/>
      </c>
      <c r="S199" s="56" t="e">
        <f>IF(ISNA(Tableau6[[#This Row],[Position 2024]]),Tableau6[[#This Row],[Position 2024]],Tableau6[[#This Row],[2024]]-R$2)</f>
        <v>#N/A</v>
      </c>
      <c r="T199" s="35" t="e">
        <f>Tableau6[[#This Row],[Cumul 2024]]-Tableau6[[#This Row],[Cumul 2023]]</f>
        <v>#N/A</v>
      </c>
      <c r="U199" s="36" t="e">
        <f>Tableau6[[#This Row],[Ecart 2023 2024]]/Tableau6[[#This Row],[Cumul 2023]]</f>
        <v>#N/A</v>
      </c>
    </row>
    <row r="200" spans="1:21" x14ac:dyDescent="0.2">
      <c r="A200" s="35">
        <v>7</v>
      </c>
      <c r="B200" s="35">
        <v>16</v>
      </c>
      <c r="C200" s="35" t="str">
        <f>Tableau6[Jour]&amp;"/"&amp;Tableau6[Mois]</f>
        <v>16/7</v>
      </c>
      <c r="D200" s="35" t="e">
        <f>MATCH(Tableau6[Jours Mois]&amp;"/"&amp;Tableau6[[#Headers],[2021]],tabSuiviConso[Jour Mois Année],0)</f>
        <v>#N/A</v>
      </c>
      <c r="E200" s="35" t="str">
        <f>IF(ISNA(Tableau6[[#This Row],[Position 2021]]),"",INDEX(tabSuiviConso[HP + HC
cumul],Tableau6[[#This Row],[Position 2021]],1))</f>
        <v/>
      </c>
      <c r="F200" s="56" t="e">
        <f>IF(ISNA(Tableau6[[#This Row],[Position 2021]]),Tableau6[[#This Row],[Position 2021]],Tableau6[[#This Row],[2021]]-E$2)</f>
        <v>#N/A</v>
      </c>
      <c r="G200" s="35" t="e">
        <f>MATCH(Tableau6[Jours Mois]&amp;"/"&amp;Tableau6[[#Headers],[2022]],tabSuiviConso[Jour Mois Année],0)</f>
        <v>#N/A</v>
      </c>
      <c r="H200" s="35" t="str">
        <f>IF(ISNA(Tableau6[[#This Row],[Position 2022]]),"",INDEX(tabSuiviConso[HP + HC
cumul],Tableau6[[#This Row],[Position 2022]],1))</f>
        <v/>
      </c>
      <c r="I200" s="56" t="e">
        <f>IF(ISNA(Tableau6[[#This Row],[Position 2022]]),Tableau6[[#This Row],[Position 2022]],Tableau6[[#This Row],[2022]]-H$2)</f>
        <v>#N/A</v>
      </c>
      <c r="J200" s="35" t="e">
        <f>MATCH(Tableau6[Jours Mois]&amp;"/"&amp;Tableau6[[#Headers],[2023]],tabSuiviConso[Jour Mois Année],0)</f>
        <v>#N/A</v>
      </c>
      <c r="K200" s="35" t="e">
        <f>Tableau6[[#This Row],[Cumul 2022]]-Tableau6[[#This Row],[Cumul 2021]]</f>
        <v>#N/A</v>
      </c>
      <c r="L200" s="37" t="e">
        <f>Tableau6[[#This Row],[Ecart 2021 2022]]/Tableau6[[#This Row],[Cumul 2021]]</f>
        <v>#N/A</v>
      </c>
      <c r="M200" s="35" t="str">
        <f>IF(ISNA(Tableau6[[#This Row],[Position 2023]]),"",INDEX(tabSuiviConso[HP + HC
cumul],Tableau6[[#This Row],[Position 2023]],1))</f>
        <v/>
      </c>
      <c r="N200" s="56" t="e">
        <f>IF(ISNA(Tableau6[[#This Row],[Position 2023]]),Tableau6[[#This Row],[Position 2023]],Tableau6[[#This Row],[2023]]-M$2)</f>
        <v>#N/A</v>
      </c>
      <c r="O200" s="35" t="e">
        <f>Tableau6[[#This Row],[Cumul 2023]]-Tableau6[[#This Row],[Cumul 2022]]</f>
        <v>#N/A</v>
      </c>
      <c r="P200" s="37" t="e">
        <f>Tableau6[[#This Row],[Ecart 2022 2023]]/Tableau6[[#This Row],[Cumul 2022]]</f>
        <v>#N/A</v>
      </c>
      <c r="Q200" s="35" t="e">
        <f>MATCH(Tableau6[Jours Mois]&amp;"/"&amp;Tableau6[[#Headers],[2024]],tabSuiviConso[Jour Mois Année],0)</f>
        <v>#N/A</v>
      </c>
      <c r="R200" s="35" t="str">
        <f>IF(ISNA(Tableau6[[#This Row],[Position 2024]]),"",INDEX(tabSuiviConso[HP + HC
cumul],Tableau6[[#This Row],[Position 2024]],1))</f>
        <v/>
      </c>
      <c r="S200" s="56" t="e">
        <f>IF(ISNA(Tableau6[[#This Row],[Position 2024]]),Tableau6[[#This Row],[Position 2024]],Tableau6[[#This Row],[2024]]-R$2)</f>
        <v>#N/A</v>
      </c>
      <c r="T200" s="35" t="e">
        <f>Tableau6[[#This Row],[Cumul 2024]]-Tableau6[[#This Row],[Cumul 2023]]</f>
        <v>#N/A</v>
      </c>
      <c r="U200" s="36" t="e">
        <f>Tableau6[[#This Row],[Ecart 2023 2024]]/Tableau6[[#This Row],[Cumul 2023]]</f>
        <v>#N/A</v>
      </c>
    </row>
    <row r="201" spans="1:21" x14ac:dyDescent="0.2">
      <c r="A201" s="35">
        <v>7</v>
      </c>
      <c r="B201" s="35">
        <v>17</v>
      </c>
      <c r="C201" s="35" t="str">
        <f>Tableau6[Jour]&amp;"/"&amp;Tableau6[Mois]</f>
        <v>17/7</v>
      </c>
      <c r="D201" s="35" t="e">
        <f>MATCH(Tableau6[Jours Mois]&amp;"/"&amp;Tableau6[[#Headers],[2021]],tabSuiviConso[Jour Mois Année],0)</f>
        <v>#N/A</v>
      </c>
      <c r="E201" s="35" t="str">
        <f>IF(ISNA(Tableau6[[#This Row],[Position 2021]]),"",INDEX(tabSuiviConso[HP + HC
cumul],Tableau6[[#This Row],[Position 2021]],1))</f>
        <v/>
      </c>
      <c r="F201" s="56" t="e">
        <f>IF(ISNA(Tableau6[[#This Row],[Position 2021]]),Tableau6[[#This Row],[Position 2021]],Tableau6[[#This Row],[2021]]-E$2)</f>
        <v>#N/A</v>
      </c>
      <c r="G201" s="35" t="e">
        <f>MATCH(Tableau6[Jours Mois]&amp;"/"&amp;Tableau6[[#Headers],[2022]],tabSuiviConso[Jour Mois Année],0)</f>
        <v>#N/A</v>
      </c>
      <c r="H201" s="35" t="str">
        <f>IF(ISNA(Tableau6[[#This Row],[Position 2022]]),"",INDEX(tabSuiviConso[HP + HC
cumul],Tableau6[[#This Row],[Position 2022]],1))</f>
        <v/>
      </c>
      <c r="I201" s="56" t="e">
        <f>IF(ISNA(Tableau6[[#This Row],[Position 2022]]),Tableau6[[#This Row],[Position 2022]],Tableau6[[#This Row],[2022]]-H$2)</f>
        <v>#N/A</v>
      </c>
      <c r="J201" s="35" t="e">
        <f>MATCH(Tableau6[Jours Mois]&amp;"/"&amp;Tableau6[[#Headers],[2023]],tabSuiviConso[Jour Mois Année],0)</f>
        <v>#N/A</v>
      </c>
      <c r="K201" s="35" t="e">
        <f>Tableau6[[#This Row],[Cumul 2022]]-Tableau6[[#This Row],[Cumul 2021]]</f>
        <v>#N/A</v>
      </c>
      <c r="L201" s="37" t="e">
        <f>Tableau6[[#This Row],[Ecart 2021 2022]]/Tableau6[[#This Row],[Cumul 2021]]</f>
        <v>#N/A</v>
      </c>
      <c r="M201" s="35" t="str">
        <f>IF(ISNA(Tableau6[[#This Row],[Position 2023]]),"",INDEX(tabSuiviConso[HP + HC
cumul],Tableau6[[#This Row],[Position 2023]],1))</f>
        <v/>
      </c>
      <c r="N201" s="56" t="e">
        <f>IF(ISNA(Tableau6[[#This Row],[Position 2023]]),Tableau6[[#This Row],[Position 2023]],Tableau6[[#This Row],[2023]]-M$2)</f>
        <v>#N/A</v>
      </c>
      <c r="O201" s="35" t="e">
        <f>Tableau6[[#This Row],[Cumul 2023]]-Tableau6[[#This Row],[Cumul 2022]]</f>
        <v>#N/A</v>
      </c>
      <c r="P201" s="37" t="e">
        <f>Tableau6[[#This Row],[Ecart 2022 2023]]/Tableau6[[#This Row],[Cumul 2022]]</f>
        <v>#N/A</v>
      </c>
      <c r="Q201" s="35" t="e">
        <f>MATCH(Tableau6[Jours Mois]&amp;"/"&amp;Tableau6[[#Headers],[2024]],tabSuiviConso[Jour Mois Année],0)</f>
        <v>#N/A</v>
      </c>
      <c r="R201" s="35" t="str">
        <f>IF(ISNA(Tableau6[[#This Row],[Position 2024]]),"",INDEX(tabSuiviConso[HP + HC
cumul],Tableau6[[#This Row],[Position 2024]],1))</f>
        <v/>
      </c>
      <c r="S201" s="56" t="e">
        <f>IF(ISNA(Tableau6[[#This Row],[Position 2024]]),Tableau6[[#This Row],[Position 2024]],Tableau6[[#This Row],[2024]]-R$2)</f>
        <v>#N/A</v>
      </c>
      <c r="T201" s="35" t="e">
        <f>Tableau6[[#This Row],[Cumul 2024]]-Tableau6[[#This Row],[Cumul 2023]]</f>
        <v>#N/A</v>
      </c>
      <c r="U201" s="36" t="e">
        <f>Tableau6[[#This Row],[Ecart 2023 2024]]/Tableau6[[#This Row],[Cumul 2023]]</f>
        <v>#N/A</v>
      </c>
    </row>
    <row r="202" spans="1:21" x14ac:dyDescent="0.2">
      <c r="A202" s="35">
        <v>7</v>
      </c>
      <c r="B202" s="35">
        <v>18</v>
      </c>
      <c r="C202" s="35" t="str">
        <f>Tableau6[Jour]&amp;"/"&amp;Tableau6[Mois]</f>
        <v>18/7</v>
      </c>
      <c r="D202" s="35" t="e">
        <f>MATCH(Tableau6[Jours Mois]&amp;"/"&amp;Tableau6[[#Headers],[2021]],tabSuiviConso[Jour Mois Année],0)</f>
        <v>#N/A</v>
      </c>
      <c r="E202" s="35" t="str">
        <f>IF(ISNA(Tableau6[[#This Row],[Position 2021]]),"",INDEX(tabSuiviConso[HP + HC
cumul],Tableau6[[#This Row],[Position 2021]],1))</f>
        <v/>
      </c>
      <c r="F202" s="56" t="e">
        <f>IF(ISNA(Tableau6[[#This Row],[Position 2021]]),Tableau6[[#This Row],[Position 2021]],Tableau6[[#This Row],[2021]]-E$2)</f>
        <v>#N/A</v>
      </c>
      <c r="G202" s="35" t="e">
        <f>MATCH(Tableau6[Jours Mois]&amp;"/"&amp;Tableau6[[#Headers],[2022]],tabSuiviConso[Jour Mois Année],0)</f>
        <v>#N/A</v>
      </c>
      <c r="H202" s="35" t="str">
        <f>IF(ISNA(Tableau6[[#This Row],[Position 2022]]),"",INDEX(tabSuiviConso[HP + HC
cumul],Tableau6[[#This Row],[Position 2022]],1))</f>
        <v/>
      </c>
      <c r="I202" s="56" t="e">
        <f>IF(ISNA(Tableau6[[#This Row],[Position 2022]]),Tableau6[[#This Row],[Position 2022]],Tableau6[[#This Row],[2022]]-H$2)</f>
        <v>#N/A</v>
      </c>
      <c r="J202" s="35" t="e">
        <f>MATCH(Tableau6[Jours Mois]&amp;"/"&amp;Tableau6[[#Headers],[2023]],tabSuiviConso[Jour Mois Année],0)</f>
        <v>#N/A</v>
      </c>
      <c r="K202" s="35" t="e">
        <f>Tableau6[[#This Row],[Cumul 2022]]-Tableau6[[#This Row],[Cumul 2021]]</f>
        <v>#N/A</v>
      </c>
      <c r="L202" s="37" t="e">
        <f>Tableau6[[#This Row],[Ecart 2021 2022]]/Tableau6[[#This Row],[Cumul 2021]]</f>
        <v>#N/A</v>
      </c>
      <c r="M202" s="35" t="str">
        <f>IF(ISNA(Tableau6[[#This Row],[Position 2023]]),"",INDEX(tabSuiviConso[HP + HC
cumul],Tableau6[[#This Row],[Position 2023]],1))</f>
        <v/>
      </c>
      <c r="N202" s="56" t="e">
        <f>IF(ISNA(Tableau6[[#This Row],[Position 2023]]),Tableau6[[#This Row],[Position 2023]],Tableau6[[#This Row],[2023]]-M$2)</f>
        <v>#N/A</v>
      </c>
      <c r="O202" s="35" t="e">
        <f>Tableau6[[#This Row],[Cumul 2023]]-Tableau6[[#This Row],[Cumul 2022]]</f>
        <v>#N/A</v>
      </c>
      <c r="P202" s="37" t="e">
        <f>Tableau6[[#This Row],[Ecart 2022 2023]]/Tableau6[[#This Row],[Cumul 2022]]</f>
        <v>#N/A</v>
      </c>
      <c r="Q202" s="35" t="e">
        <f>MATCH(Tableau6[Jours Mois]&amp;"/"&amp;Tableau6[[#Headers],[2024]],tabSuiviConso[Jour Mois Année],0)</f>
        <v>#N/A</v>
      </c>
      <c r="R202" s="35" t="str">
        <f>IF(ISNA(Tableau6[[#This Row],[Position 2024]]),"",INDEX(tabSuiviConso[HP + HC
cumul],Tableau6[[#This Row],[Position 2024]],1))</f>
        <v/>
      </c>
      <c r="S202" s="56" t="e">
        <f>IF(ISNA(Tableau6[[#This Row],[Position 2024]]),Tableau6[[#This Row],[Position 2024]],Tableau6[[#This Row],[2024]]-R$2)</f>
        <v>#N/A</v>
      </c>
      <c r="T202" s="35" t="e">
        <f>Tableau6[[#This Row],[Cumul 2024]]-Tableau6[[#This Row],[Cumul 2023]]</f>
        <v>#N/A</v>
      </c>
      <c r="U202" s="36" t="e">
        <f>Tableau6[[#This Row],[Ecart 2023 2024]]/Tableau6[[#This Row],[Cumul 2023]]</f>
        <v>#N/A</v>
      </c>
    </row>
    <row r="203" spans="1:21" x14ac:dyDescent="0.2">
      <c r="A203" s="35">
        <v>7</v>
      </c>
      <c r="B203" s="35">
        <v>19</v>
      </c>
      <c r="C203" s="35" t="str">
        <f>Tableau6[Jour]&amp;"/"&amp;Tableau6[Mois]</f>
        <v>19/7</v>
      </c>
      <c r="D203" s="35" t="e">
        <f>MATCH(Tableau6[Jours Mois]&amp;"/"&amp;Tableau6[[#Headers],[2021]],tabSuiviConso[Jour Mois Année],0)</f>
        <v>#N/A</v>
      </c>
      <c r="E203" s="35" t="str">
        <f>IF(ISNA(Tableau6[[#This Row],[Position 2021]]),"",INDEX(tabSuiviConso[HP + HC
cumul],Tableau6[[#This Row],[Position 2021]],1))</f>
        <v/>
      </c>
      <c r="F203" s="56" t="e">
        <f>IF(ISNA(Tableau6[[#This Row],[Position 2021]]),Tableau6[[#This Row],[Position 2021]],Tableau6[[#This Row],[2021]]-E$2)</f>
        <v>#N/A</v>
      </c>
      <c r="G203" s="35" t="e">
        <f>MATCH(Tableau6[Jours Mois]&amp;"/"&amp;Tableau6[[#Headers],[2022]],tabSuiviConso[Jour Mois Année],0)</f>
        <v>#N/A</v>
      </c>
      <c r="H203" s="35" t="str">
        <f>IF(ISNA(Tableau6[[#This Row],[Position 2022]]),"",INDEX(tabSuiviConso[HP + HC
cumul],Tableau6[[#This Row],[Position 2022]],1))</f>
        <v/>
      </c>
      <c r="I203" s="56" t="e">
        <f>IF(ISNA(Tableau6[[#This Row],[Position 2022]]),Tableau6[[#This Row],[Position 2022]],Tableau6[[#This Row],[2022]]-H$2)</f>
        <v>#N/A</v>
      </c>
      <c r="J203" s="35" t="e">
        <f>MATCH(Tableau6[Jours Mois]&amp;"/"&amp;Tableau6[[#Headers],[2023]],tabSuiviConso[Jour Mois Année],0)</f>
        <v>#N/A</v>
      </c>
      <c r="K203" s="35" t="e">
        <f>Tableau6[[#This Row],[Cumul 2022]]-Tableau6[[#This Row],[Cumul 2021]]</f>
        <v>#N/A</v>
      </c>
      <c r="L203" s="37" t="e">
        <f>Tableau6[[#This Row],[Ecart 2021 2022]]/Tableau6[[#This Row],[Cumul 2021]]</f>
        <v>#N/A</v>
      </c>
      <c r="M203" s="35" t="str">
        <f>IF(ISNA(Tableau6[[#This Row],[Position 2023]]),"",INDEX(tabSuiviConso[HP + HC
cumul],Tableau6[[#This Row],[Position 2023]],1))</f>
        <v/>
      </c>
      <c r="N203" s="56" t="e">
        <f>IF(ISNA(Tableau6[[#This Row],[Position 2023]]),Tableau6[[#This Row],[Position 2023]],Tableau6[[#This Row],[2023]]-M$2)</f>
        <v>#N/A</v>
      </c>
      <c r="O203" s="35" t="e">
        <f>Tableau6[[#This Row],[Cumul 2023]]-Tableau6[[#This Row],[Cumul 2022]]</f>
        <v>#N/A</v>
      </c>
      <c r="P203" s="37" t="e">
        <f>Tableau6[[#This Row],[Ecart 2022 2023]]/Tableau6[[#This Row],[Cumul 2022]]</f>
        <v>#N/A</v>
      </c>
      <c r="Q203" s="35" t="e">
        <f>MATCH(Tableau6[Jours Mois]&amp;"/"&amp;Tableau6[[#Headers],[2024]],tabSuiviConso[Jour Mois Année],0)</f>
        <v>#N/A</v>
      </c>
      <c r="R203" s="35" t="str">
        <f>IF(ISNA(Tableau6[[#This Row],[Position 2024]]),"",INDEX(tabSuiviConso[HP + HC
cumul],Tableau6[[#This Row],[Position 2024]],1))</f>
        <v/>
      </c>
      <c r="S203" s="56" t="e">
        <f>IF(ISNA(Tableau6[[#This Row],[Position 2024]]),Tableau6[[#This Row],[Position 2024]],Tableau6[[#This Row],[2024]]-R$2)</f>
        <v>#N/A</v>
      </c>
      <c r="T203" s="35" t="e">
        <f>Tableau6[[#This Row],[Cumul 2024]]-Tableau6[[#This Row],[Cumul 2023]]</f>
        <v>#N/A</v>
      </c>
      <c r="U203" s="36" t="e">
        <f>Tableau6[[#This Row],[Ecart 2023 2024]]/Tableau6[[#This Row],[Cumul 2023]]</f>
        <v>#N/A</v>
      </c>
    </row>
    <row r="204" spans="1:21" x14ac:dyDescent="0.2">
      <c r="A204" s="35">
        <v>7</v>
      </c>
      <c r="B204" s="35">
        <v>20</v>
      </c>
      <c r="C204" s="35" t="str">
        <f>Tableau6[Jour]&amp;"/"&amp;Tableau6[Mois]</f>
        <v>20/7</v>
      </c>
      <c r="D204" s="35" t="e">
        <f>MATCH(Tableau6[Jours Mois]&amp;"/"&amp;Tableau6[[#Headers],[2021]],tabSuiviConso[Jour Mois Année],0)</f>
        <v>#N/A</v>
      </c>
      <c r="E204" s="35" t="str">
        <f>IF(ISNA(Tableau6[[#This Row],[Position 2021]]),"",INDEX(tabSuiviConso[HP + HC
cumul],Tableau6[[#This Row],[Position 2021]],1))</f>
        <v/>
      </c>
      <c r="F204" s="56" t="e">
        <f>IF(ISNA(Tableau6[[#This Row],[Position 2021]]),Tableau6[[#This Row],[Position 2021]],Tableau6[[#This Row],[2021]]-E$2)</f>
        <v>#N/A</v>
      </c>
      <c r="G204" s="35" t="e">
        <f>MATCH(Tableau6[Jours Mois]&amp;"/"&amp;Tableau6[[#Headers],[2022]],tabSuiviConso[Jour Mois Année],0)</f>
        <v>#N/A</v>
      </c>
      <c r="H204" s="35" t="str">
        <f>IF(ISNA(Tableau6[[#This Row],[Position 2022]]),"",INDEX(tabSuiviConso[HP + HC
cumul],Tableau6[[#This Row],[Position 2022]],1))</f>
        <v/>
      </c>
      <c r="I204" s="56" t="e">
        <f>IF(ISNA(Tableau6[[#This Row],[Position 2022]]),Tableau6[[#This Row],[Position 2022]],Tableau6[[#This Row],[2022]]-H$2)</f>
        <v>#N/A</v>
      </c>
      <c r="J204" s="35" t="e">
        <f>MATCH(Tableau6[Jours Mois]&amp;"/"&amp;Tableau6[[#Headers],[2023]],tabSuiviConso[Jour Mois Année],0)</f>
        <v>#N/A</v>
      </c>
      <c r="K204" s="35" t="e">
        <f>Tableau6[[#This Row],[Cumul 2022]]-Tableau6[[#This Row],[Cumul 2021]]</f>
        <v>#N/A</v>
      </c>
      <c r="L204" s="37" t="e">
        <f>Tableau6[[#This Row],[Ecart 2021 2022]]/Tableau6[[#This Row],[Cumul 2021]]</f>
        <v>#N/A</v>
      </c>
      <c r="M204" s="35" t="str">
        <f>IF(ISNA(Tableau6[[#This Row],[Position 2023]]),"",INDEX(tabSuiviConso[HP + HC
cumul],Tableau6[[#This Row],[Position 2023]],1))</f>
        <v/>
      </c>
      <c r="N204" s="56" t="e">
        <f>IF(ISNA(Tableau6[[#This Row],[Position 2023]]),Tableau6[[#This Row],[Position 2023]],Tableau6[[#This Row],[2023]]-M$2)</f>
        <v>#N/A</v>
      </c>
      <c r="O204" s="35" t="e">
        <f>Tableau6[[#This Row],[Cumul 2023]]-Tableau6[[#This Row],[Cumul 2022]]</f>
        <v>#N/A</v>
      </c>
      <c r="P204" s="37" t="e">
        <f>Tableau6[[#This Row],[Ecart 2022 2023]]/Tableau6[[#This Row],[Cumul 2022]]</f>
        <v>#N/A</v>
      </c>
      <c r="Q204" s="35" t="e">
        <f>MATCH(Tableau6[Jours Mois]&amp;"/"&amp;Tableau6[[#Headers],[2024]],tabSuiviConso[Jour Mois Année],0)</f>
        <v>#N/A</v>
      </c>
      <c r="R204" s="35" t="str">
        <f>IF(ISNA(Tableau6[[#This Row],[Position 2024]]),"",INDEX(tabSuiviConso[HP + HC
cumul],Tableau6[[#This Row],[Position 2024]],1))</f>
        <v/>
      </c>
      <c r="S204" s="56" t="e">
        <f>IF(ISNA(Tableau6[[#This Row],[Position 2024]]),Tableau6[[#This Row],[Position 2024]],Tableau6[[#This Row],[2024]]-R$2)</f>
        <v>#N/A</v>
      </c>
      <c r="T204" s="35" t="e">
        <f>Tableau6[[#This Row],[Cumul 2024]]-Tableau6[[#This Row],[Cumul 2023]]</f>
        <v>#N/A</v>
      </c>
      <c r="U204" s="36" t="e">
        <f>Tableau6[[#This Row],[Ecart 2023 2024]]/Tableau6[[#This Row],[Cumul 2023]]</f>
        <v>#N/A</v>
      </c>
    </row>
    <row r="205" spans="1:21" x14ac:dyDescent="0.2">
      <c r="A205" s="35">
        <v>7</v>
      </c>
      <c r="B205" s="35">
        <v>21</v>
      </c>
      <c r="C205" s="35" t="str">
        <f>Tableau6[Jour]&amp;"/"&amp;Tableau6[Mois]</f>
        <v>21/7</v>
      </c>
      <c r="D205" s="35" t="e">
        <f>MATCH(Tableau6[Jours Mois]&amp;"/"&amp;Tableau6[[#Headers],[2021]],tabSuiviConso[Jour Mois Année],0)</f>
        <v>#N/A</v>
      </c>
      <c r="E205" s="35" t="str">
        <f>IF(ISNA(Tableau6[[#This Row],[Position 2021]]),"",INDEX(tabSuiviConso[HP + HC
cumul],Tableau6[[#This Row],[Position 2021]],1))</f>
        <v/>
      </c>
      <c r="F205" s="56" t="e">
        <f>IF(ISNA(Tableau6[[#This Row],[Position 2021]]),Tableau6[[#This Row],[Position 2021]],Tableau6[[#This Row],[2021]]-E$2)</f>
        <v>#N/A</v>
      </c>
      <c r="G205" s="35" t="e">
        <f>MATCH(Tableau6[Jours Mois]&amp;"/"&amp;Tableau6[[#Headers],[2022]],tabSuiviConso[Jour Mois Année],0)</f>
        <v>#N/A</v>
      </c>
      <c r="H205" s="35" t="str">
        <f>IF(ISNA(Tableau6[[#This Row],[Position 2022]]),"",INDEX(tabSuiviConso[HP + HC
cumul],Tableau6[[#This Row],[Position 2022]],1))</f>
        <v/>
      </c>
      <c r="I205" s="56" t="e">
        <f>IF(ISNA(Tableau6[[#This Row],[Position 2022]]),Tableau6[[#This Row],[Position 2022]],Tableau6[[#This Row],[2022]]-H$2)</f>
        <v>#N/A</v>
      </c>
      <c r="J205" s="35" t="e">
        <f>MATCH(Tableau6[Jours Mois]&amp;"/"&amp;Tableau6[[#Headers],[2023]],tabSuiviConso[Jour Mois Année],0)</f>
        <v>#N/A</v>
      </c>
      <c r="K205" s="35" t="e">
        <f>Tableau6[[#This Row],[Cumul 2022]]-Tableau6[[#This Row],[Cumul 2021]]</f>
        <v>#N/A</v>
      </c>
      <c r="L205" s="37" t="e">
        <f>Tableau6[[#This Row],[Ecart 2021 2022]]/Tableau6[[#This Row],[Cumul 2021]]</f>
        <v>#N/A</v>
      </c>
      <c r="M205" s="35" t="str">
        <f>IF(ISNA(Tableau6[[#This Row],[Position 2023]]),"",INDEX(tabSuiviConso[HP + HC
cumul],Tableau6[[#This Row],[Position 2023]],1))</f>
        <v/>
      </c>
      <c r="N205" s="56" t="e">
        <f>IF(ISNA(Tableau6[[#This Row],[Position 2023]]),Tableau6[[#This Row],[Position 2023]],Tableau6[[#This Row],[2023]]-M$2)</f>
        <v>#N/A</v>
      </c>
      <c r="O205" s="35" t="e">
        <f>Tableau6[[#This Row],[Cumul 2023]]-Tableau6[[#This Row],[Cumul 2022]]</f>
        <v>#N/A</v>
      </c>
      <c r="P205" s="37" t="e">
        <f>Tableau6[[#This Row],[Ecart 2022 2023]]/Tableau6[[#This Row],[Cumul 2022]]</f>
        <v>#N/A</v>
      </c>
      <c r="Q205" s="35" t="e">
        <f>MATCH(Tableau6[Jours Mois]&amp;"/"&amp;Tableau6[[#Headers],[2024]],tabSuiviConso[Jour Mois Année],0)</f>
        <v>#N/A</v>
      </c>
      <c r="R205" s="35" t="str">
        <f>IF(ISNA(Tableau6[[#This Row],[Position 2024]]),"",INDEX(tabSuiviConso[HP + HC
cumul],Tableau6[[#This Row],[Position 2024]],1))</f>
        <v/>
      </c>
      <c r="S205" s="56" t="e">
        <f>IF(ISNA(Tableau6[[#This Row],[Position 2024]]),Tableau6[[#This Row],[Position 2024]],Tableau6[[#This Row],[2024]]-R$2)</f>
        <v>#N/A</v>
      </c>
      <c r="T205" s="35" t="e">
        <f>Tableau6[[#This Row],[Cumul 2024]]-Tableau6[[#This Row],[Cumul 2023]]</f>
        <v>#N/A</v>
      </c>
      <c r="U205" s="36" t="e">
        <f>Tableau6[[#This Row],[Ecart 2023 2024]]/Tableau6[[#This Row],[Cumul 2023]]</f>
        <v>#N/A</v>
      </c>
    </row>
    <row r="206" spans="1:21" x14ac:dyDescent="0.2">
      <c r="A206" s="35">
        <v>7</v>
      </c>
      <c r="B206" s="35">
        <v>22</v>
      </c>
      <c r="C206" s="35" t="str">
        <f>Tableau6[Jour]&amp;"/"&amp;Tableau6[Mois]</f>
        <v>22/7</v>
      </c>
      <c r="D206" s="35" t="e">
        <f>MATCH(Tableau6[Jours Mois]&amp;"/"&amp;Tableau6[[#Headers],[2021]],tabSuiviConso[Jour Mois Année],0)</f>
        <v>#N/A</v>
      </c>
      <c r="E206" s="35" t="str">
        <f>IF(ISNA(Tableau6[[#This Row],[Position 2021]]),"",INDEX(tabSuiviConso[HP + HC
cumul],Tableau6[[#This Row],[Position 2021]],1))</f>
        <v/>
      </c>
      <c r="F206" s="56" t="e">
        <f>IF(ISNA(Tableau6[[#This Row],[Position 2021]]),Tableau6[[#This Row],[Position 2021]],Tableau6[[#This Row],[2021]]-E$2)</f>
        <v>#N/A</v>
      </c>
      <c r="G206" s="35" t="e">
        <f>MATCH(Tableau6[Jours Mois]&amp;"/"&amp;Tableau6[[#Headers],[2022]],tabSuiviConso[Jour Mois Année],0)</f>
        <v>#N/A</v>
      </c>
      <c r="H206" s="35" t="str">
        <f>IF(ISNA(Tableau6[[#This Row],[Position 2022]]),"",INDEX(tabSuiviConso[HP + HC
cumul],Tableau6[[#This Row],[Position 2022]],1))</f>
        <v/>
      </c>
      <c r="I206" s="56" t="e">
        <f>IF(ISNA(Tableau6[[#This Row],[Position 2022]]),Tableau6[[#This Row],[Position 2022]],Tableau6[[#This Row],[2022]]-H$2)</f>
        <v>#N/A</v>
      </c>
      <c r="J206" s="35" t="e">
        <f>MATCH(Tableau6[Jours Mois]&amp;"/"&amp;Tableau6[[#Headers],[2023]],tabSuiviConso[Jour Mois Année],0)</f>
        <v>#N/A</v>
      </c>
      <c r="K206" s="35" t="e">
        <f>Tableau6[[#This Row],[Cumul 2022]]-Tableau6[[#This Row],[Cumul 2021]]</f>
        <v>#N/A</v>
      </c>
      <c r="L206" s="37" t="e">
        <f>Tableau6[[#This Row],[Ecart 2021 2022]]/Tableau6[[#This Row],[Cumul 2021]]</f>
        <v>#N/A</v>
      </c>
      <c r="M206" s="35" t="str">
        <f>IF(ISNA(Tableau6[[#This Row],[Position 2023]]),"",INDEX(tabSuiviConso[HP + HC
cumul],Tableau6[[#This Row],[Position 2023]],1))</f>
        <v/>
      </c>
      <c r="N206" s="56" t="e">
        <f>IF(ISNA(Tableau6[[#This Row],[Position 2023]]),Tableau6[[#This Row],[Position 2023]],Tableau6[[#This Row],[2023]]-M$2)</f>
        <v>#N/A</v>
      </c>
      <c r="O206" s="35" t="e">
        <f>Tableau6[[#This Row],[Cumul 2023]]-Tableau6[[#This Row],[Cumul 2022]]</f>
        <v>#N/A</v>
      </c>
      <c r="P206" s="37" t="e">
        <f>Tableau6[[#This Row],[Ecart 2022 2023]]/Tableau6[[#This Row],[Cumul 2022]]</f>
        <v>#N/A</v>
      </c>
      <c r="Q206" s="35" t="e">
        <f>MATCH(Tableau6[Jours Mois]&amp;"/"&amp;Tableau6[[#Headers],[2024]],tabSuiviConso[Jour Mois Année],0)</f>
        <v>#N/A</v>
      </c>
      <c r="R206" s="35" t="str">
        <f>IF(ISNA(Tableau6[[#This Row],[Position 2024]]),"",INDEX(tabSuiviConso[HP + HC
cumul],Tableau6[[#This Row],[Position 2024]],1))</f>
        <v/>
      </c>
      <c r="S206" s="56" t="e">
        <f>IF(ISNA(Tableau6[[#This Row],[Position 2024]]),Tableau6[[#This Row],[Position 2024]],Tableau6[[#This Row],[2024]]-R$2)</f>
        <v>#N/A</v>
      </c>
      <c r="T206" s="35" t="e">
        <f>Tableau6[[#This Row],[Cumul 2024]]-Tableau6[[#This Row],[Cumul 2023]]</f>
        <v>#N/A</v>
      </c>
      <c r="U206" s="36" t="e">
        <f>Tableau6[[#This Row],[Ecart 2023 2024]]/Tableau6[[#This Row],[Cumul 2023]]</f>
        <v>#N/A</v>
      </c>
    </row>
    <row r="207" spans="1:21" x14ac:dyDescent="0.2">
      <c r="A207" s="35">
        <v>7</v>
      </c>
      <c r="B207" s="35">
        <v>23</v>
      </c>
      <c r="C207" s="35" t="str">
        <f>Tableau6[Jour]&amp;"/"&amp;Tableau6[Mois]</f>
        <v>23/7</v>
      </c>
      <c r="D207" s="35" t="e">
        <f>MATCH(Tableau6[Jours Mois]&amp;"/"&amp;Tableau6[[#Headers],[2021]],tabSuiviConso[Jour Mois Année],0)</f>
        <v>#N/A</v>
      </c>
      <c r="E207" s="35" t="str">
        <f>IF(ISNA(Tableau6[[#This Row],[Position 2021]]),"",INDEX(tabSuiviConso[HP + HC
cumul],Tableau6[[#This Row],[Position 2021]],1))</f>
        <v/>
      </c>
      <c r="F207" s="56" t="e">
        <f>IF(ISNA(Tableau6[[#This Row],[Position 2021]]),Tableau6[[#This Row],[Position 2021]],Tableau6[[#This Row],[2021]]-E$2)</f>
        <v>#N/A</v>
      </c>
      <c r="G207" s="35" t="e">
        <f>MATCH(Tableau6[Jours Mois]&amp;"/"&amp;Tableau6[[#Headers],[2022]],tabSuiviConso[Jour Mois Année],0)</f>
        <v>#N/A</v>
      </c>
      <c r="H207" s="35" t="str">
        <f>IF(ISNA(Tableau6[[#This Row],[Position 2022]]),"",INDEX(tabSuiviConso[HP + HC
cumul],Tableau6[[#This Row],[Position 2022]],1))</f>
        <v/>
      </c>
      <c r="I207" s="56" t="e">
        <f>IF(ISNA(Tableau6[[#This Row],[Position 2022]]),Tableau6[[#This Row],[Position 2022]],Tableau6[[#This Row],[2022]]-H$2)</f>
        <v>#N/A</v>
      </c>
      <c r="J207" s="35" t="e">
        <f>MATCH(Tableau6[Jours Mois]&amp;"/"&amp;Tableau6[[#Headers],[2023]],tabSuiviConso[Jour Mois Année],0)</f>
        <v>#N/A</v>
      </c>
      <c r="K207" s="35" t="e">
        <f>Tableau6[[#This Row],[Cumul 2022]]-Tableau6[[#This Row],[Cumul 2021]]</f>
        <v>#N/A</v>
      </c>
      <c r="L207" s="37" t="e">
        <f>Tableau6[[#This Row],[Ecart 2021 2022]]/Tableau6[[#This Row],[Cumul 2021]]</f>
        <v>#N/A</v>
      </c>
      <c r="M207" s="35" t="str">
        <f>IF(ISNA(Tableau6[[#This Row],[Position 2023]]),"",INDEX(tabSuiviConso[HP + HC
cumul],Tableau6[[#This Row],[Position 2023]],1))</f>
        <v/>
      </c>
      <c r="N207" s="56" t="e">
        <f>IF(ISNA(Tableau6[[#This Row],[Position 2023]]),Tableau6[[#This Row],[Position 2023]],Tableau6[[#This Row],[2023]]-M$2)</f>
        <v>#N/A</v>
      </c>
      <c r="O207" s="35" t="e">
        <f>Tableau6[[#This Row],[Cumul 2023]]-Tableau6[[#This Row],[Cumul 2022]]</f>
        <v>#N/A</v>
      </c>
      <c r="P207" s="37" t="e">
        <f>Tableau6[[#This Row],[Ecart 2022 2023]]/Tableau6[[#This Row],[Cumul 2022]]</f>
        <v>#N/A</v>
      </c>
      <c r="Q207" s="35" t="e">
        <f>MATCH(Tableau6[Jours Mois]&amp;"/"&amp;Tableau6[[#Headers],[2024]],tabSuiviConso[Jour Mois Année],0)</f>
        <v>#N/A</v>
      </c>
      <c r="R207" s="35" t="str">
        <f>IF(ISNA(Tableau6[[#This Row],[Position 2024]]),"",INDEX(tabSuiviConso[HP + HC
cumul],Tableau6[[#This Row],[Position 2024]],1))</f>
        <v/>
      </c>
      <c r="S207" s="56" t="e">
        <f>IF(ISNA(Tableau6[[#This Row],[Position 2024]]),Tableau6[[#This Row],[Position 2024]],Tableau6[[#This Row],[2024]]-R$2)</f>
        <v>#N/A</v>
      </c>
      <c r="T207" s="35" t="e">
        <f>Tableau6[[#This Row],[Cumul 2024]]-Tableau6[[#This Row],[Cumul 2023]]</f>
        <v>#N/A</v>
      </c>
      <c r="U207" s="36" t="e">
        <f>Tableau6[[#This Row],[Ecart 2023 2024]]/Tableau6[[#This Row],[Cumul 2023]]</f>
        <v>#N/A</v>
      </c>
    </row>
    <row r="208" spans="1:21" x14ac:dyDescent="0.2">
      <c r="A208" s="35">
        <v>7</v>
      </c>
      <c r="B208" s="35">
        <v>24</v>
      </c>
      <c r="C208" s="35" t="str">
        <f>Tableau6[Jour]&amp;"/"&amp;Tableau6[Mois]</f>
        <v>24/7</v>
      </c>
      <c r="D208" s="35" t="e">
        <f>MATCH(Tableau6[Jours Mois]&amp;"/"&amp;Tableau6[[#Headers],[2021]],tabSuiviConso[Jour Mois Année],0)</f>
        <v>#N/A</v>
      </c>
      <c r="E208" s="35" t="str">
        <f>IF(ISNA(Tableau6[[#This Row],[Position 2021]]),"",INDEX(tabSuiviConso[HP + HC
cumul],Tableau6[[#This Row],[Position 2021]],1))</f>
        <v/>
      </c>
      <c r="F208" s="56" t="e">
        <f>IF(ISNA(Tableau6[[#This Row],[Position 2021]]),Tableau6[[#This Row],[Position 2021]],Tableau6[[#This Row],[2021]]-E$2)</f>
        <v>#N/A</v>
      </c>
      <c r="G208" s="35" t="e">
        <f>MATCH(Tableau6[Jours Mois]&amp;"/"&amp;Tableau6[[#Headers],[2022]],tabSuiviConso[Jour Mois Année],0)</f>
        <v>#N/A</v>
      </c>
      <c r="H208" s="35" t="str">
        <f>IF(ISNA(Tableau6[[#This Row],[Position 2022]]),"",INDEX(tabSuiviConso[HP + HC
cumul],Tableau6[[#This Row],[Position 2022]],1))</f>
        <v/>
      </c>
      <c r="I208" s="56" t="e">
        <f>IF(ISNA(Tableau6[[#This Row],[Position 2022]]),Tableau6[[#This Row],[Position 2022]],Tableau6[[#This Row],[2022]]-H$2)</f>
        <v>#N/A</v>
      </c>
      <c r="J208" s="35" t="e">
        <f>MATCH(Tableau6[Jours Mois]&amp;"/"&amp;Tableau6[[#Headers],[2023]],tabSuiviConso[Jour Mois Année],0)</f>
        <v>#N/A</v>
      </c>
      <c r="K208" s="35" t="e">
        <f>Tableau6[[#This Row],[Cumul 2022]]-Tableau6[[#This Row],[Cumul 2021]]</f>
        <v>#N/A</v>
      </c>
      <c r="L208" s="37" t="e">
        <f>Tableau6[[#This Row],[Ecart 2021 2022]]/Tableau6[[#This Row],[Cumul 2021]]</f>
        <v>#N/A</v>
      </c>
      <c r="M208" s="35" t="str">
        <f>IF(ISNA(Tableau6[[#This Row],[Position 2023]]),"",INDEX(tabSuiviConso[HP + HC
cumul],Tableau6[[#This Row],[Position 2023]],1))</f>
        <v/>
      </c>
      <c r="N208" s="56" t="e">
        <f>IF(ISNA(Tableau6[[#This Row],[Position 2023]]),Tableau6[[#This Row],[Position 2023]],Tableau6[[#This Row],[2023]]-M$2)</f>
        <v>#N/A</v>
      </c>
      <c r="O208" s="35" t="e">
        <f>Tableau6[[#This Row],[Cumul 2023]]-Tableau6[[#This Row],[Cumul 2022]]</f>
        <v>#N/A</v>
      </c>
      <c r="P208" s="37" t="e">
        <f>Tableau6[[#This Row],[Ecart 2022 2023]]/Tableau6[[#This Row],[Cumul 2022]]</f>
        <v>#N/A</v>
      </c>
      <c r="Q208" s="35" t="e">
        <f>MATCH(Tableau6[Jours Mois]&amp;"/"&amp;Tableau6[[#Headers],[2024]],tabSuiviConso[Jour Mois Année],0)</f>
        <v>#N/A</v>
      </c>
      <c r="R208" s="35" t="str">
        <f>IF(ISNA(Tableau6[[#This Row],[Position 2024]]),"",INDEX(tabSuiviConso[HP + HC
cumul],Tableau6[[#This Row],[Position 2024]],1))</f>
        <v/>
      </c>
      <c r="S208" s="56" t="e">
        <f>IF(ISNA(Tableau6[[#This Row],[Position 2024]]),Tableau6[[#This Row],[Position 2024]],Tableau6[[#This Row],[2024]]-R$2)</f>
        <v>#N/A</v>
      </c>
      <c r="T208" s="35" t="e">
        <f>Tableau6[[#This Row],[Cumul 2024]]-Tableau6[[#This Row],[Cumul 2023]]</f>
        <v>#N/A</v>
      </c>
      <c r="U208" s="36" t="e">
        <f>Tableau6[[#This Row],[Ecart 2023 2024]]/Tableau6[[#This Row],[Cumul 2023]]</f>
        <v>#N/A</v>
      </c>
    </row>
    <row r="209" spans="1:21" x14ac:dyDescent="0.2">
      <c r="A209" s="35">
        <v>7</v>
      </c>
      <c r="B209" s="35">
        <v>25</v>
      </c>
      <c r="C209" s="35" t="str">
        <f>Tableau6[Jour]&amp;"/"&amp;Tableau6[Mois]</f>
        <v>25/7</v>
      </c>
      <c r="D209" s="35" t="e">
        <f>MATCH(Tableau6[Jours Mois]&amp;"/"&amp;Tableau6[[#Headers],[2021]],tabSuiviConso[Jour Mois Année],0)</f>
        <v>#N/A</v>
      </c>
      <c r="E209" s="35" t="str">
        <f>IF(ISNA(Tableau6[[#This Row],[Position 2021]]),"",INDEX(tabSuiviConso[HP + HC
cumul],Tableau6[[#This Row],[Position 2021]],1))</f>
        <v/>
      </c>
      <c r="F209" s="56" t="e">
        <f>IF(ISNA(Tableau6[[#This Row],[Position 2021]]),Tableau6[[#This Row],[Position 2021]],Tableau6[[#This Row],[2021]]-E$2)</f>
        <v>#N/A</v>
      </c>
      <c r="G209" s="35" t="e">
        <f>MATCH(Tableau6[Jours Mois]&amp;"/"&amp;Tableau6[[#Headers],[2022]],tabSuiviConso[Jour Mois Année],0)</f>
        <v>#N/A</v>
      </c>
      <c r="H209" s="35" t="str">
        <f>IF(ISNA(Tableau6[[#This Row],[Position 2022]]),"",INDEX(tabSuiviConso[HP + HC
cumul],Tableau6[[#This Row],[Position 2022]],1))</f>
        <v/>
      </c>
      <c r="I209" s="56" t="e">
        <f>IF(ISNA(Tableau6[[#This Row],[Position 2022]]),Tableau6[[#This Row],[Position 2022]],Tableau6[[#This Row],[2022]]-H$2)</f>
        <v>#N/A</v>
      </c>
      <c r="J209" s="35" t="e">
        <f>MATCH(Tableau6[Jours Mois]&amp;"/"&amp;Tableau6[[#Headers],[2023]],tabSuiviConso[Jour Mois Année],0)</f>
        <v>#N/A</v>
      </c>
      <c r="K209" s="35" t="e">
        <f>Tableau6[[#This Row],[Cumul 2022]]-Tableau6[[#This Row],[Cumul 2021]]</f>
        <v>#N/A</v>
      </c>
      <c r="L209" s="37" t="e">
        <f>Tableau6[[#This Row],[Ecart 2021 2022]]/Tableau6[[#This Row],[Cumul 2021]]</f>
        <v>#N/A</v>
      </c>
      <c r="M209" s="35" t="str">
        <f>IF(ISNA(Tableau6[[#This Row],[Position 2023]]),"",INDEX(tabSuiviConso[HP + HC
cumul],Tableau6[[#This Row],[Position 2023]],1))</f>
        <v/>
      </c>
      <c r="N209" s="56" t="e">
        <f>IF(ISNA(Tableau6[[#This Row],[Position 2023]]),Tableau6[[#This Row],[Position 2023]],Tableau6[[#This Row],[2023]]-M$2)</f>
        <v>#N/A</v>
      </c>
      <c r="O209" s="35" t="e">
        <f>Tableau6[[#This Row],[Cumul 2023]]-Tableau6[[#This Row],[Cumul 2022]]</f>
        <v>#N/A</v>
      </c>
      <c r="P209" s="37" t="e">
        <f>Tableau6[[#This Row],[Ecart 2022 2023]]/Tableau6[[#This Row],[Cumul 2022]]</f>
        <v>#N/A</v>
      </c>
      <c r="Q209" s="35" t="e">
        <f>MATCH(Tableau6[Jours Mois]&amp;"/"&amp;Tableau6[[#Headers],[2024]],tabSuiviConso[Jour Mois Année],0)</f>
        <v>#N/A</v>
      </c>
      <c r="R209" s="35" t="str">
        <f>IF(ISNA(Tableau6[[#This Row],[Position 2024]]),"",INDEX(tabSuiviConso[HP + HC
cumul],Tableau6[[#This Row],[Position 2024]],1))</f>
        <v/>
      </c>
      <c r="S209" s="56" t="e">
        <f>IF(ISNA(Tableau6[[#This Row],[Position 2024]]),Tableau6[[#This Row],[Position 2024]],Tableau6[[#This Row],[2024]]-R$2)</f>
        <v>#N/A</v>
      </c>
      <c r="T209" s="35" t="e">
        <f>Tableau6[[#This Row],[Cumul 2024]]-Tableau6[[#This Row],[Cumul 2023]]</f>
        <v>#N/A</v>
      </c>
      <c r="U209" s="36" t="e">
        <f>Tableau6[[#This Row],[Ecart 2023 2024]]/Tableau6[[#This Row],[Cumul 2023]]</f>
        <v>#N/A</v>
      </c>
    </row>
    <row r="210" spans="1:21" x14ac:dyDescent="0.2">
      <c r="A210" s="35">
        <v>7</v>
      </c>
      <c r="B210" s="35">
        <v>26</v>
      </c>
      <c r="C210" s="35" t="str">
        <f>Tableau6[Jour]&amp;"/"&amp;Tableau6[Mois]</f>
        <v>26/7</v>
      </c>
      <c r="D210" s="35" t="e">
        <f>MATCH(Tableau6[Jours Mois]&amp;"/"&amp;Tableau6[[#Headers],[2021]],tabSuiviConso[Jour Mois Année],0)</f>
        <v>#N/A</v>
      </c>
      <c r="E210" s="35" t="str">
        <f>IF(ISNA(Tableau6[[#This Row],[Position 2021]]),"",INDEX(tabSuiviConso[HP + HC
cumul],Tableau6[[#This Row],[Position 2021]],1))</f>
        <v/>
      </c>
      <c r="F210" s="56" t="e">
        <f>IF(ISNA(Tableau6[[#This Row],[Position 2021]]),Tableau6[[#This Row],[Position 2021]],Tableau6[[#This Row],[2021]]-E$2)</f>
        <v>#N/A</v>
      </c>
      <c r="G210" s="35" t="e">
        <f>MATCH(Tableau6[Jours Mois]&amp;"/"&amp;Tableau6[[#Headers],[2022]],tabSuiviConso[Jour Mois Année],0)</f>
        <v>#N/A</v>
      </c>
      <c r="H210" s="35" t="str">
        <f>IF(ISNA(Tableau6[[#This Row],[Position 2022]]),"",INDEX(tabSuiviConso[HP + HC
cumul],Tableau6[[#This Row],[Position 2022]],1))</f>
        <v/>
      </c>
      <c r="I210" s="56" t="e">
        <f>IF(ISNA(Tableau6[[#This Row],[Position 2022]]),Tableau6[[#This Row],[Position 2022]],Tableau6[[#This Row],[2022]]-H$2)</f>
        <v>#N/A</v>
      </c>
      <c r="J210" s="35" t="e">
        <f>MATCH(Tableau6[Jours Mois]&amp;"/"&amp;Tableau6[[#Headers],[2023]],tabSuiviConso[Jour Mois Année],0)</f>
        <v>#N/A</v>
      </c>
      <c r="K210" s="35" t="e">
        <f>Tableau6[[#This Row],[Cumul 2022]]-Tableau6[[#This Row],[Cumul 2021]]</f>
        <v>#N/A</v>
      </c>
      <c r="L210" s="37" t="e">
        <f>Tableau6[[#This Row],[Ecart 2021 2022]]/Tableau6[[#This Row],[Cumul 2021]]</f>
        <v>#N/A</v>
      </c>
      <c r="M210" s="35" t="str">
        <f>IF(ISNA(Tableau6[[#This Row],[Position 2023]]),"",INDEX(tabSuiviConso[HP + HC
cumul],Tableau6[[#This Row],[Position 2023]],1))</f>
        <v/>
      </c>
      <c r="N210" s="56" t="e">
        <f>IF(ISNA(Tableau6[[#This Row],[Position 2023]]),Tableau6[[#This Row],[Position 2023]],Tableau6[[#This Row],[2023]]-M$2)</f>
        <v>#N/A</v>
      </c>
      <c r="O210" s="35" t="e">
        <f>Tableau6[[#This Row],[Cumul 2023]]-Tableau6[[#This Row],[Cumul 2022]]</f>
        <v>#N/A</v>
      </c>
      <c r="P210" s="37" t="e">
        <f>Tableau6[[#This Row],[Ecart 2022 2023]]/Tableau6[[#This Row],[Cumul 2022]]</f>
        <v>#N/A</v>
      </c>
      <c r="Q210" s="35" t="e">
        <f>MATCH(Tableau6[Jours Mois]&amp;"/"&amp;Tableau6[[#Headers],[2024]],tabSuiviConso[Jour Mois Année],0)</f>
        <v>#N/A</v>
      </c>
      <c r="R210" s="35" t="str">
        <f>IF(ISNA(Tableau6[[#This Row],[Position 2024]]),"",INDEX(tabSuiviConso[HP + HC
cumul],Tableau6[[#This Row],[Position 2024]],1))</f>
        <v/>
      </c>
      <c r="S210" s="56" t="e">
        <f>IF(ISNA(Tableau6[[#This Row],[Position 2024]]),Tableau6[[#This Row],[Position 2024]],Tableau6[[#This Row],[2024]]-R$2)</f>
        <v>#N/A</v>
      </c>
      <c r="T210" s="35" t="e">
        <f>Tableau6[[#This Row],[Cumul 2024]]-Tableau6[[#This Row],[Cumul 2023]]</f>
        <v>#N/A</v>
      </c>
      <c r="U210" s="36" t="e">
        <f>Tableau6[[#This Row],[Ecart 2023 2024]]/Tableau6[[#This Row],[Cumul 2023]]</f>
        <v>#N/A</v>
      </c>
    </row>
    <row r="211" spans="1:21" x14ac:dyDescent="0.2">
      <c r="A211" s="35">
        <v>7</v>
      </c>
      <c r="B211" s="35">
        <v>27</v>
      </c>
      <c r="C211" s="35" t="str">
        <f>Tableau6[Jour]&amp;"/"&amp;Tableau6[Mois]</f>
        <v>27/7</v>
      </c>
      <c r="D211" s="35" t="e">
        <f>MATCH(Tableau6[Jours Mois]&amp;"/"&amp;Tableau6[[#Headers],[2021]],tabSuiviConso[Jour Mois Année],0)</f>
        <v>#N/A</v>
      </c>
      <c r="E211" s="35" t="str">
        <f>IF(ISNA(Tableau6[[#This Row],[Position 2021]]),"",INDEX(tabSuiviConso[HP + HC
cumul],Tableau6[[#This Row],[Position 2021]],1))</f>
        <v/>
      </c>
      <c r="F211" s="56" t="e">
        <f>IF(ISNA(Tableau6[[#This Row],[Position 2021]]),Tableau6[[#This Row],[Position 2021]],Tableau6[[#This Row],[2021]]-E$2)</f>
        <v>#N/A</v>
      </c>
      <c r="G211" s="35" t="e">
        <f>MATCH(Tableau6[Jours Mois]&amp;"/"&amp;Tableau6[[#Headers],[2022]],tabSuiviConso[Jour Mois Année],0)</f>
        <v>#N/A</v>
      </c>
      <c r="H211" s="35" t="str">
        <f>IF(ISNA(Tableau6[[#This Row],[Position 2022]]),"",INDEX(tabSuiviConso[HP + HC
cumul],Tableau6[[#This Row],[Position 2022]],1))</f>
        <v/>
      </c>
      <c r="I211" s="56" t="e">
        <f>IF(ISNA(Tableau6[[#This Row],[Position 2022]]),Tableau6[[#This Row],[Position 2022]],Tableau6[[#This Row],[2022]]-H$2)</f>
        <v>#N/A</v>
      </c>
      <c r="J211" s="35" t="e">
        <f>MATCH(Tableau6[Jours Mois]&amp;"/"&amp;Tableau6[[#Headers],[2023]],tabSuiviConso[Jour Mois Année],0)</f>
        <v>#N/A</v>
      </c>
      <c r="K211" s="35" t="e">
        <f>Tableau6[[#This Row],[Cumul 2022]]-Tableau6[[#This Row],[Cumul 2021]]</f>
        <v>#N/A</v>
      </c>
      <c r="L211" s="37" t="e">
        <f>Tableau6[[#This Row],[Ecart 2021 2022]]/Tableau6[[#This Row],[Cumul 2021]]</f>
        <v>#N/A</v>
      </c>
      <c r="M211" s="35" t="str">
        <f>IF(ISNA(Tableau6[[#This Row],[Position 2023]]),"",INDEX(tabSuiviConso[HP + HC
cumul],Tableau6[[#This Row],[Position 2023]],1))</f>
        <v/>
      </c>
      <c r="N211" s="56" t="e">
        <f>IF(ISNA(Tableau6[[#This Row],[Position 2023]]),Tableau6[[#This Row],[Position 2023]],Tableau6[[#This Row],[2023]]-M$2)</f>
        <v>#N/A</v>
      </c>
      <c r="O211" s="35" t="e">
        <f>Tableau6[[#This Row],[Cumul 2023]]-Tableau6[[#This Row],[Cumul 2022]]</f>
        <v>#N/A</v>
      </c>
      <c r="P211" s="37" t="e">
        <f>Tableau6[[#This Row],[Ecart 2022 2023]]/Tableau6[[#This Row],[Cumul 2022]]</f>
        <v>#N/A</v>
      </c>
      <c r="Q211" s="35" t="e">
        <f>MATCH(Tableau6[Jours Mois]&amp;"/"&amp;Tableau6[[#Headers],[2024]],tabSuiviConso[Jour Mois Année],0)</f>
        <v>#N/A</v>
      </c>
      <c r="R211" s="35" t="str">
        <f>IF(ISNA(Tableau6[[#This Row],[Position 2024]]),"",INDEX(tabSuiviConso[HP + HC
cumul],Tableau6[[#This Row],[Position 2024]],1))</f>
        <v/>
      </c>
      <c r="S211" s="56" t="e">
        <f>IF(ISNA(Tableau6[[#This Row],[Position 2024]]),Tableau6[[#This Row],[Position 2024]],Tableau6[[#This Row],[2024]]-R$2)</f>
        <v>#N/A</v>
      </c>
      <c r="T211" s="35" t="e">
        <f>Tableau6[[#This Row],[Cumul 2024]]-Tableau6[[#This Row],[Cumul 2023]]</f>
        <v>#N/A</v>
      </c>
      <c r="U211" s="36" t="e">
        <f>Tableau6[[#This Row],[Ecart 2023 2024]]/Tableau6[[#This Row],[Cumul 2023]]</f>
        <v>#N/A</v>
      </c>
    </row>
    <row r="212" spans="1:21" x14ac:dyDescent="0.2">
      <c r="A212" s="35">
        <v>7</v>
      </c>
      <c r="B212" s="35">
        <v>28</v>
      </c>
      <c r="C212" s="35" t="str">
        <f>Tableau6[Jour]&amp;"/"&amp;Tableau6[Mois]</f>
        <v>28/7</v>
      </c>
      <c r="D212" s="35" t="e">
        <f>MATCH(Tableau6[Jours Mois]&amp;"/"&amp;Tableau6[[#Headers],[2021]],tabSuiviConso[Jour Mois Année],0)</f>
        <v>#N/A</v>
      </c>
      <c r="E212" s="35" t="str">
        <f>IF(ISNA(Tableau6[[#This Row],[Position 2021]]),"",INDEX(tabSuiviConso[HP + HC
cumul],Tableau6[[#This Row],[Position 2021]],1))</f>
        <v/>
      </c>
      <c r="F212" s="56" t="e">
        <f>IF(ISNA(Tableau6[[#This Row],[Position 2021]]),Tableau6[[#This Row],[Position 2021]],Tableau6[[#This Row],[2021]]-E$2)</f>
        <v>#N/A</v>
      </c>
      <c r="G212" s="35" t="e">
        <f>MATCH(Tableau6[Jours Mois]&amp;"/"&amp;Tableau6[[#Headers],[2022]],tabSuiviConso[Jour Mois Année],0)</f>
        <v>#N/A</v>
      </c>
      <c r="H212" s="35" t="str">
        <f>IF(ISNA(Tableau6[[#This Row],[Position 2022]]),"",INDEX(tabSuiviConso[HP + HC
cumul],Tableau6[[#This Row],[Position 2022]],1))</f>
        <v/>
      </c>
      <c r="I212" s="56" t="e">
        <f>IF(ISNA(Tableau6[[#This Row],[Position 2022]]),Tableau6[[#This Row],[Position 2022]],Tableau6[[#This Row],[2022]]-H$2)</f>
        <v>#N/A</v>
      </c>
      <c r="J212" s="35" t="e">
        <f>MATCH(Tableau6[Jours Mois]&amp;"/"&amp;Tableau6[[#Headers],[2023]],tabSuiviConso[Jour Mois Année],0)</f>
        <v>#N/A</v>
      </c>
      <c r="K212" s="35" t="e">
        <f>Tableau6[[#This Row],[Cumul 2022]]-Tableau6[[#This Row],[Cumul 2021]]</f>
        <v>#N/A</v>
      </c>
      <c r="L212" s="37" t="e">
        <f>Tableau6[[#This Row],[Ecart 2021 2022]]/Tableau6[[#This Row],[Cumul 2021]]</f>
        <v>#N/A</v>
      </c>
      <c r="M212" s="35" t="str">
        <f>IF(ISNA(Tableau6[[#This Row],[Position 2023]]),"",INDEX(tabSuiviConso[HP + HC
cumul],Tableau6[[#This Row],[Position 2023]],1))</f>
        <v/>
      </c>
      <c r="N212" s="56" t="e">
        <f>IF(ISNA(Tableau6[[#This Row],[Position 2023]]),Tableau6[[#This Row],[Position 2023]],Tableau6[[#This Row],[2023]]-M$2)</f>
        <v>#N/A</v>
      </c>
      <c r="O212" s="35" t="e">
        <f>Tableau6[[#This Row],[Cumul 2023]]-Tableau6[[#This Row],[Cumul 2022]]</f>
        <v>#N/A</v>
      </c>
      <c r="P212" s="37" t="e">
        <f>Tableau6[[#This Row],[Ecart 2022 2023]]/Tableau6[[#This Row],[Cumul 2022]]</f>
        <v>#N/A</v>
      </c>
      <c r="Q212" s="35" t="e">
        <f>MATCH(Tableau6[Jours Mois]&amp;"/"&amp;Tableau6[[#Headers],[2024]],tabSuiviConso[Jour Mois Année],0)</f>
        <v>#N/A</v>
      </c>
      <c r="R212" s="35" t="str">
        <f>IF(ISNA(Tableau6[[#This Row],[Position 2024]]),"",INDEX(tabSuiviConso[HP + HC
cumul],Tableau6[[#This Row],[Position 2024]],1))</f>
        <v/>
      </c>
      <c r="S212" s="56" t="e">
        <f>IF(ISNA(Tableau6[[#This Row],[Position 2024]]),Tableau6[[#This Row],[Position 2024]],Tableau6[[#This Row],[2024]]-R$2)</f>
        <v>#N/A</v>
      </c>
      <c r="T212" s="35" t="e">
        <f>Tableau6[[#This Row],[Cumul 2024]]-Tableau6[[#This Row],[Cumul 2023]]</f>
        <v>#N/A</v>
      </c>
      <c r="U212" s="36" t="e">
        <f>Tableau6[[#This Row],[Ecart 2023 2024]]/Tableau6[[#This Row],[Cumul 2023]]</f>
        <v>#N/A</v>
      </c>
    </row>
    <row r="213" spans="1:21" x14ac:dyDescent="0.2">
      <c r="A213" s="35">
        <v>7</v>
      </c>
      <c r="B213" s="35">
        <v>29</v>
      </c>
      <c r="C213" s="35" t="str">
        <f>Tableau6[Jour]&amp;"/"&amp;Tableau6[Mois]</f>
        <v>29/7</v>
      </c>
      <c r="D213" s="35" t="e">
        <f>MATCH(Tableau6[Jours Mois]&amp;"/"&amp;Tableau6[[#Headers],[2021]],tabSuiviConso[Jour Mois Année],0)</f>
        <v>#N/A</v>
      </c>
      <c r="E213" s="35" t="str">
        <f>IF(ISNA(Tableau6[[#This Row],[Position 2021]]),"",INDEX(tabSuiviConso[HP + HC
cumul],Tableau6[[#This Row],[Position 2021]],1))</f>
        <v/>
      </c>
      <c r="F213" s="56" t="e">
        <f>IF(ISNA(Tableau6[[#This Row],[Position 2021]]),Tableau6[[#This Row],[Position 2021]],Tableau6[[#This Row],[2021]]-E$2)</f>
        <v>#N/A</v>
      </c>
      <c r="G213" s="35" t="e">
        <f>MATCH(Tableau6[Jours Mois]&amp;"/"&amp;Tableau6[[#Headers],[2022]],tabSuiviConso[Jour Mois Année],0)</f>
        <v>#N/A</v>
      </c>
      <c r="H213" s="35" t="str">
        <f>IF(ISNA(Tableau6[[#This Row],[Position 2022]]),"",INDEX(tabSuiviConso[HP + HC
cumul],Tableau6[[#This Row],[Position 2022]],1))</f>
        <v/>
      </c>
      <c r="I213" s="56" t="e">
        <f>IF(ISNA(Tableau6[[#This Row],[Position 2022]]),Tableau6[[#This Row],[Position 2022]],Tableau6[[#This Row],[2022]]-H$2)</f>
        <v>#N/A</v>
      </c>
      <c r="J213" s="35" t="e">
        <f>MATCH(Tableau6[Jours Mois]&amp;"/"&amp;Tableau6[[#Headers],[2023]],tabSuiviConso[Jour Mois Année],0)</f>
        <v>#N/A</v>
      </c>
      <c r="K213" s="35" t="e">
        <f>Tableau6[[#This Row],[Cumul 2022]]-Tableau6[[#This Row],[Cumul 2021]]</f>
        <v>#N/A</v>
      </c>
      <c r="L213" s="37" t="e">
        <f>Tableau6[[#This Row],[Ecart 2021 2022]]/Tableau6[[#This Row],[Cumul 2021]]</f>
        <v>#N/A</v>
      </c>
      <c r="M213" s="35" t="str">
        <f>IF(ISNA(Tableau6[[#This Row],[Position 2023]]),"",INDEX(tabSuiviConso[HP + HC
cumul],Tableau6[[#This Row],[Position 2023]],1))</f>
        <v/>
      </c>
      <c r="N213" s="56" t="e">
        <f>IF(ISNA(Tableau6[[#This Row],[Position 2023]]),Tableau6[[#This Row],[Position 2023]],Tableau6[[#This Row],[2023]]-M$2)</f>
        <v>#N/A</v>
      </c>
      <c r="O213" s="35" t="e">
        <f>Tableau6[[#This Row],[Cumul 2023]]-Tableau6[[#This Row],[Cumul 2022]]</f>
        <v>#N/A</v>
      </c>
      <c r="P213" s="37" t="e">
        <f>Tableau6[[#This Row],[Ecart 2022 2023]]/Tableau6[[#This Row],[Cumul 2022]]</f>
        <v>#N/A</v>
      </c>
      <c r="Q213" s="35" t="e">
        <f>MATCH(Tableau6[Jours Mois]&amp;"/"&amp;Tableau6[[#Headers],[2024]],tabSuiviConso[Jour Mois Année],0)</f>
        <v>#N/A</v>
      </c>
      <c r="R213" s="35" t="str">
        <f>IF(ISNA(Tableau6[[#This Row],[Position 2024]]),"",INDEX(tabSuiviConso[HP + HC
cumul],Tableau6[[#This Row],[Position 2024]],1))</f>
        <v/>
      </c>
      <c r="S213" s="56" t="e">
        <f>IF(ISNA(Tableau6[[#This Row],[Position 2024]]),Tableau6[[#This Row],[Position 2024]],Tableau6[[#This Row],[2024]]-R$2)</f>
        <v>#N/A</v>
      </c>
      <c r="T213" s="35" t="e">
        <f>Tableau6[[#This Row],[Cumul 2024]]-Tableau6[[#This Row],[Cumul 2023]]</f>
        <v>#N/A</v>
      </c>
      <c r="U213" s="36" t="e">
        <f>Tableau6[[#This Row],[Ecart 2023 2024]]/Tableau6[[#This Row],[Cumul 2023]]</f>
        <v>#N/A</v>
      </c>
    </row>
    <row r="214" spans="1:21" x14ac:dyDescent="0.2">
      <c r="A214" s="35">
        <v>7</v>
      </c>
      <c r="B214" s="35">
        <v>30</v>
      </c>
      <c r="C214" s="35" t="str">
        <f>Tableau6[Jour]&amp;"/"&amp;Tableau6[Mois]</f>
        <v>30/7</v>
      </c>
      <c r="D214" s="35" t="e">
        <f>MATCH(Tableau6[Jours Mois]&amp;"/"&amp;Tableau6[[#Headers],[2021]],tabSuiviConso[Jour Mois Année],0)</f>
        <v>#N/A</v>
      </c>
      <c r="E214" s="35" t="str">
        <f>IF(ISNA(Tableau6[[#This Row],[Position 2021]]),"",INDEX(tabSuiviConso[HP + HC
cumul],Tableau6[[#This Row],[Position 2021]],1))</f>
        <v/>
      </c>
      <c r="F214" s="56" t="e">
        <f>IF(ISNA(Tableau6[[#This Row],[Position 2021]]),Tableau6[[#This Row],[Position 2021]],Tableau6[[#This Row],[2021]]-E$2)</f>
        <v>#N/A</v>
      </c>
      <c r="G214" s="35" t="e">
        <f>MATCH(Tableau6[Jours Mois]&amp;"/"&amp;Tableau6[[#Headers],[2022]],tabSuiviConso[Jour Mois Année],0)</f>
        <v>#N/A</v>
      </c>
      <c r="H214" s="35" t="str">
        <f>IF(ISNA(Tableau6[[#This Row],[Position 2022]]),"",INDEX(tabSuiviConso[HP + HC
cumul],Tableau6[[#This Row],[Position 2022]],1))</f>
        <v/>
      </c>
      <c r="I214" s="56" t="e">
        <f>IF(ISNA(Tableau6[[#This Row],[Position 2022]]),Tableau6[[#This Row],[Position 2022]],Tableau6[[#This Row],[2022]]-H$2)</f>
        <v>#N/A</v>
      </c>
      <c r="J214" s="35" t="e">
        <f>MATCH(Tableau6[Jours Mois]&amp;"/"&amp;Tableau6[[#Headers],[2023]],tabSuiviConso[Jour Mois Année],0)</f>
        <v>#N/A</v>
      </c>
      <c r="K214" s="35" t="e">
        <f>Tableau6[[#This Row],[Cumul 2022]]-Tableau6[[#This Row],[Cumul 2021]]</f>
        <v>#N/A</v>
      </c>
      <c r="L214" s="37" t="e">
        <f>Tableau6[[#This Row],[Ecart 2021 2022]]/Tableau6[[#This Row],[Cumul 2021]]</f>
        <v>#N/A</v>
      </c>
      <c r="M214" s="35" t="str">
        <f>IF(ISNA(Tableau6[[#This Row],[Position 2023]]),"",INDEX(tabSuiviConso[HP + HC
cumul],Tableau6[[#This Row],[Position 2023]],1))</f>
        <v/>
      </c>
      <c r="N214" s="56" t="e">
        <f>IF(ISNA(Tableau6[[#This Row],[Position 2023]]),Tableau6[[#This Row],[Position 2023]],Tableau6[[#This Row],[2023]]-M$2)</f>
        <v>#N/A</v>
      </c>
      <c r="O214" s="35" t="e">
        <f>Tableau6[[#This Row],[Cumul 2023]]-Tableau6[[#This Row],[Cumul 2022]]</f>
        <v>#N/A</v>
      </c>
      <c r="P214" s="37" t="e">
        <f>Tableau6[[#This Row],[Ecart 2022 2023]]/Tableau6[[#This Row],[Cumul 2022]]</f>
        <v>#N/A</v>
      </c>
      <c r="Q214" s="35" t="e">
        <f>MATCH(Tableau6[Jours Mois]&amp;"/"&amp;Tableau6[[#Headers],[2024]],tabSuiviConso[Jour Mois Année],0)</f>
        <v>#N/A</v>
      </c>
      <c r="R214" s="35" t="str">
        <f>IF(ISNA(Tableau6[[#This Row],[Position 2024]]),"",INDEX(tabSuiviConso[HP + HC
cumul],Tableau6[[#This Row],[Position 2024]],1))</f>
        <v/>
      </c>
      <c r="S214" s="56" t="e">
        <f>IF(ISNA(Tableau6[[#This Row],[Position 2024]]),Tableau6[[#This Row],[Position 2024]],Tableau6[[#This Row],[2024]]-R$2)</f>
        <v>#N/A</v>
      </c>
      <c r="T214" s="35" t="e">
        <f>Tableau6[[#This Row],[Cumul 2024]]-Tableau6[[#This Row],[Cumul 2023]]</f>
        <v>#N/A</v>
      </c>
      <c r="U214" s="36" t="e">
        <f>Tableau6[[#This Row],[Ecart 2023 2024]]/Tableau6[[#This Row],[Cumul 2023]]</f>
        <v>#N/A</v>
      </c>
    </row>
    <row r="215" spans="1:21" x14ac:dyDescent="0.2">
      <c r="A215" s="35">
        <v>7</v>
      </c>
      <c r="B215" s="35">
        <v>31</v>
      </c>
      <c r="C215" s="35" t="str">
        <f>Tableau6[Jour]&amp;"/"&amp;Tableau6[Mois]</f>
        <v>31/7</v>
      </c>
      <c r="D215" s="35" t="e">
        <f>MATCH(Tableau6[Jours Mois]&amp;"/"&amp;Tableau6[[#Headers],[2021]],tabSuiviConso[Jour Mois Année],0)</f>
        <v>#N/A</v>
      </c>
      <c r="E215" s="35" t="str">
        <f>IF(ISNA(Tableau6[[#This Row],[Position 2021]]),"",INDEX(tabSuiviConso[HP + HC
cumul],Tableau6[[#This Row],[Position 2021]],1))</f>
        <v/>
      </c>
      <c r="F215" s="56" t="e">
        <f>IF(ISNA(Tableau6[[#This Row],[Position 2021]]),Tableau6[[#This Row],[Position 2021]],Tableau6[[#This Row],[2021]]-E$2)</f>
        <v>#N/A</v>
      </c>
      <c r="G215" s="35" t="e">
        <f>MATCH(Tableau6[Jours Mois]&amp;"/"&amp;Tableau6[[#Headers],[2022]],tabSuiviConso[Jour Mois Année],0)</f>
        <v>#N/A</v>
      </c>
      <c r="H215" s="35" t="str">
        <f>IF(ISNA(Tableau6[[#This Row],[Position 2022]]),"",INDEX(tabSuiviConso[HP + HC
cumul],Tableau6[[#This Row],[Position 2022]],1))</f>
        <v/>
      </c>
      <c r="I215" s="56" t="e">
        <f>IF(ISNA(Tableau6[[#This Row],[Position 2022]]),Tableau6[[#This Row],[Position 2022]],Tableau6[[#This Row],[2022]]-H$2)</f>
        <v>#N/A</v>
      </c>
      <c r="J215" s="35" t="e">
        <f>MATCH(Tableau6[Jours Mois]&amp;"/"&amp;Tableau6[[#Headers],[2023]],tabSuiviConso[Jour Mois Année],0)</f>
        <v>#N/A</v>
      </c>
      <c r="K215" s="35" t="e">
        <f>Tableau6[[#This Row],[Cumul 2022]]-Tableau6[[#This Row],[Cumul 2021]]</f>
        <v>#N/A</v>
      </c>
      <c r="L215" s="37" t="e">
        <f>Tableau6[[#This Row],[Ecart 2021 2022]]/Tableau6[[#This Row],[Cumul 2021]]</f>
        <v>#N/A</v>
      </c>
      <c r="M215" s="35" t="str">
        <f>IF(ISNA(Tableau6[[#This Row],[Position 2023]]),"",INDEX(tabSuiviConso[HP + HC
cumul],Tableau6[[#This Row],[Position 2023]],1))</f>
        <v/>
      </c>
      <c r="N215" s="56" t="e">
        <f>IF(ISNA(Tableau6[[#This Row],[Position 2023]]),Tableau6[[#This Row],[Position 2023]],Tableau6[[#This Row],[2023]]-M$2)</f>
        <v>#N/A</v>
      </c>
      <c r="O215" s="35" t="e">
        <f>Tableau6[[#This Row],[Cumul 2023]]-Tableau6[[#This Row],[Cumul 2022]]</f>
        <v>#N/A</v>
      </c>
      <c r="P215" s="37" t="e">
        <f>Tableau6[[#This Row],[Ecart 2022 2023]]/Tableau6[[#This Row],[Cumul 2022]]</f>
        <v>#N/A</v>
      </c>
      <c r="Q215" s="35" t="e">
        <f>MATCH(Tableau6[Jours Mois]&amp;"/"&amp;Tableau6[[#Headers],[2024]],tabSuiviConso[Jour Mois Année],0)</f>
        <v>#N/A</v>
      </c>
      <c r="R215" s="35" t="str">
        <f>IF(ISNA(Tableau6[[#This Row],[Position 2024]]),"",INDEX(tabSuiviConso[HP + HC
cumul],Tableau6[[#This Row],[Position 2024]],1))</f>
        <v/>
      </c>
      <c r="S215" s="56" t="e">
        <f>IF(ISNA(Tableau6[[#This Row],[Position 2024]]),Tableau6[[#This Row],[Position 2024]],Tableau6[[#This Row],[2024]]-R$2)</f>
        <v>#N/A</v>
      </c>
      <c r="T215" s="35" t="e">
        <f>Tableau6[[#This Row],[Cumul 2024]]-Tableau6[[#This Row],[Cumul 2023]]</f>
        <v>#N/A</v>
      </c>
      <c r="U215" s="36" t="e">
        <f>Tableau6[[#This Row],[Ecart 2023 2024]]/Tableau6[[#This Row],[Cumul 2023]]</f>
        <v>#N/A</v>
      </c>
    </row>
    <row r="216" spans="1:21" x14ac:dyDescent="0.2">
      <c r="A216" s="35">
        <v>8</v>
      </c>
      <c r="B216" s="35">
        <v>1</v>
      </c>
      <c r="C216" s="35" t="str">
        <f>Tableau6[Jour]&amp;"/"&amp;Tableau6[Mois]</f>
        <v>1/8</v>
      </c>
      <c r="D216" s="35" t="e">
        <f>MATCH(Tableau6[Jours Mois]&amp;"/"&amp;Tableau6[[#Headers],[2021]],tabSuiviConso[Jour Mois Année],0)</f>
        <v>#N/A</v>
      </c>
      <c r="E216" s="35" t="str">
        <f>IF(ISNA(Tableau6[[#This Row],[Position 2021]]),"",INDEX(tabSuiviConso[HP + HC
cumul],Tableau6[[#This Row],[Position 2021]],1))</f>
        <v/>
      </c>
      <c r="F216" s="56" t="e">
        <f>IF(ISNA(Tableau6[[#This Row],[Position 2021]]),Tableau6[[#This Row],[Position 2021]],Tableau6[[#This Row],[2021]]-E$2)</f>
        <v>#N/A</v>
      </c>
      <c r="G216" s="35" t="e">
        <f>MATCH(Tableau6[Jours Mois]&amp;"/"&amp;Tableau6[[#Headers],[2022]],tabSuiviConso[Jour Mois Année],0)</f>
        <v>#N/A</v>
      </c>
      <c r="H216" s="35" t="str">
        <f>IF(ISNA(Tableau6[[#This Row],[Position 2022]]),"",INDEX(tabSuiviConso[HP + HC
cumul],Tableau6[[#This Row],[Position 2022]],1))</f>
        <v/>
      </c>
      <c r="I216" s="56" t="e">
        <f>IF(ISNA(Tableau6[[#This Row],[Position 2022]]),Tableau6[[#This Row],[Position 2022]],Tableau6[[#This Row],[2022]]-H$2)</f>
        <v>#N/A</v>
      </c>
      <c r="J216" s="35" t="e">
        <f>MATCH(Tableau6[Jours Mois]&amp;"/"&amp;Tableau6[[#Headers],[2023]],tabSuiviConso[Jour Mois Année],0)</f>
        <v>#N/A</v>
      </c>
      <c r="K216" s="35" t="e">
        <f>Tableau6[[#This Row],[Cumul 2022]]-Tableau6[[#This Row],[Cumul 2021]]</f>
        <v>#N/A</v>
      </c>
      <c r="L216" s="37" t="e">
        <f>Tableau6[[#This Row],[Ecart 2021 2022]]/Tableau6[[#This Row],[Cumul 2021]]</f>
        <v>#N/A</v>
      </c>
      <c r="M216" s="35" t="str">
        <f>IF(ISNA(Tableau6[[#This Row],[Position 2023]]),"",INDEX(tabSuiviConso[HP + HC
cumul],Tableau6[[#This Row],[Position 2023]],1))</f>
        <v/>
      </c>
      <c r="N216" s="56" t="e">
        <f>IF(ISNA(Tableau6[[#This Row],[Position 2023]]),Tableau6[[#This Row],[Position 2023]],Tableau6[[#This Row],[2023]]-M$2)</f>
        <v>#N/A</v>
      </c>
      <c r="O216" s="35" t="e">
        <f>Tableau6[[#This Row],[Cumul 2023]]-Tableau6[[#This Row],[Cumul 2022]]</f>
        <v>#N/A</v>
      </c>
      <c r="P216" s="37" t="e">
        <f>Tableau6[[#This Row],[Ecart 2022 2023]]/Tableau6[[#This Row],[Cumul 2022]]</f>
        <v>#N/A</v>
      </c>
      <c r="Q216" s="35" t="e">
        <f>MATCH(Tableau6[Jours Mois]&amp;"/"&amp;Tableau6[[#Headers],[2024]],tabSuiviConso[Jour Mois Année],0)</f>
        <v>#N/A</v>
      </c>
      <c r="R216" s="35" t="str">
        <f>IF(ISNA(Tableau6[[#This Row],[Position 2024]]),"",INDEX(tabSuiviConso[HP + HC
cumul],Tableau6[[#This Row],[Position 2024]],1))</f>
        <v/>
      </c>
      <c r="S216" s="56" t="e">
        <f>IF(ISNA(Tableau6[[#This Row],[Position 2024]]),Tableau6[[#This Row],[Position 2024]],Tableau6[[#This Row],[2024]]-R$2)</f>
        <v>#N/A</v>
      </c>
      <c r="T216" s="35" t="e">
        <f>Tableau6[[#This Row],[Cumul 2024]]-Tableau6[[#This Row],[Cumul 2023]]</f>
        <v>#N/A</v>
      </c>
      <c r="U216" s="36" t="e">
        <f>Tableau6[[#This Row],[Ecart 2023 2024]]/Tableau6[[#This Row],[Cumul 2023]]</f>
        <v>#N/A</v>
      </c>
    </row>
    <row r="217" spans="1:21" x14ac:dyDescent="0.2">
      <c r="A217" s="35">
        <v>8</v>
      </c>
      <c r="B217" s="35">
        <v>2</v>
      </c>
      <c r="C217" s="35" t="str">
        <f>Tableau6[Jour]&amp;"/"&amp;Tableau6[Mois]</f>
        <v>2/8</v>
      </c>
      <c r="D217" s="35" t="e">
        <f>MATCH(Tableau6[Jours Mois]&amp;"/"&amp;Tableau6[[#Headers],[2021]],tabSuiviConso[Jour Mois Année],0)</f>
        <v>#N/A</v>
      </c>
      <c r="E217" s="35" t="str">
        <f>IF(ISNA(Tableau6[[#This Row],[Position 2021]]),"",INDEX(tabSuiviConso[HP + HC
cumul],Tableau6[[#This Row],[Position 2021]],1))</f>
        <v/>
      </c>
      <c r="F217" s="56" t="e">
        <f>IF(ISNA(Tableau6[[#This Row],[Position 2021]]),Tableau6[[#This Row],[Position 2021]],Tableau6[[#This Row],[2021]]-E$2)</f>
        <v>#N/A</v>
      </c>
      <c r="G217" s="35" t="e">
        <f>MATCH(Tableau6[Jours Mois]&amp;"/"&amp;Tableau6[[#Headers],[2022]],tabSuiviConso[Jour Mois Année],0)</f>
        <v>#N/A</v>
      </c>
      <c r="H217" s="35" t="str">
        <f>IF(ISNA(Tableau6[[#This Row],[Position 2022]]),"",INDEX(tabSuiviConso[HP + HC
cumul],Tableau6[[#This Row],[Position 2022]],1))</f>
        <v/>
      </c>
      <c r="I217" s="56" t="e">
        <f>IF(ISNA(Tableau6[[#This Row],[Position 2022]]),Tableau6[[#This Row],[Position 2022]],Tableau6[[#This Row],[2022]]-H$2)</f>
        <v>#N/A</v>
      </c>
      <c r="J217" s="35" t="e">
        <f>MATCH(Tableau6[Jours Mois]&amp;"/"&amp;Tableau6[[#Headers],[2023]],tabSuiviConso[Jour Mois Année],0)</f>
        <v>#N/A</v>
      </c>
      <c r="K217" s="35" t="e">
        <f>Tableau6[[#This Row],[Cumul 2022]]-Tableau6[[#This Row],[Cumul 2021]]</f>
        <v>#N/A</v>
      </c>
      <c r="L217" s="37" t="e">
        <f>Tableau6[[#This Row],[Ecart 2021 2022]]/Tableau6[[#This Row],[Cumul 2021]]</f>
        <v>#N/A</v>
      </c>
      <c r="M217" s="35" t="str">
        <f>IF(ISNA(Tableau6[[#This Row],[Position 2023]]),"",INDEX(tabSuiviConso[HP + HC
cumul],Tableau6[[#This Row],[Position 2023]],1))</f>
        <v/>
      </c>
      <c r="N217" s="56" t="e">
        <f>IF(ISNA(Tableau6[[#This Row],[Position 2023]]),Tableau6[[#This Row],[Position 2023]],Tableau6[[#This Row],[2023]]-M$2)</f>
        <v>#N/A</v>
      </c>
      <c r="O217" s="35" t="e">
        <f>Tableau6[[#This Row],[Cumul 2023]]-Tableau6[[#This Row],[Cumul 2022]]</f>
        <v>#N/A</v>
      </c>
      <c r="P217" s="37" t="e">
        <f>Tableau6[[#This Row],[Ecart 2022 2023]]/Tableau6[[#This Row],[Cumul 2022]]</f>
        <v>#N/A</v>
      </c>
      <c r="Q217" s="35" t="e">
        <f>MATCH(Tableau6[Jours Mois]&amp;"/"&amp;Tableau6[[#Headers],[2024]],tabSuiviConso[Jour Mois Année],0)</f>
        <v>#N/A</v>
      </c>
      <c r="R217" s="35" t="str">
        <f>IF(ISNA(Tableau6[[#This Row],[Position 2024]]),"",INDEX(tabSuiviConso[HP + HC
cumul],Tableau6[[#This Row],[Position 2024]],1))</f>
        <v/>
      </c>
      <c r="S217" s="56" t="e">
        <f>IF(ISNA(Tableau6[[#This Row],[Position 2024]]),Tableau6[[#This Row],[Position 2024]],Tableau6[[#This Row],[2024]]-R$2)</f>
        <v>#N/A</v>
      </c>
      <c r="T217" s="35" t="e">
        <f>Tableau6[[#This Row],[Cumul 2024]]-Tableau6[[#This Row],[Cumul 2023]]</f>
        <v>#N/A</v>
      </c>
      <c r="U217" s="36" t="e">
        <f>Tableau6[[#This Row],[Ecart 2023 2024]]/Tableau6[[#This Row],[Cumul 2023]]</f>
        <v>#N/A</v>
      </c>
    </row>
    <row r="218" spans="1:21" x14ac:dyDescent="0.2">
      <c r="A218" s="35">
        <v>8</v>
      </c>
      <c r="B218" s="35">
        <v>3</v>
      </c>
      <c r="C218" s="35" t="str">
        <f>Tableau6[Jour]&amp;"/"&amp;Tableau6[Mois]</f>
        <v>3/8</v>
      </c>
      <c r="D218" s="35" t="e">
        <f>MATCH(Tableau6[Jours Mois]&amp;"/"&amp;Tableau6[[#Headers],[2021]],tabSuiviConso[Jour Mois Année],0)</f>
        <v>#N/A</v>
      </c>
      <c r="E218" s="35" t="str">
        <f>IF(ISNA(Tableau6[[#This Row],[Position 2021]]),"",INDEX(tabSuiviConso[HP + HC
cumul],Tableau6[[#This Row],[Position 2021]],1))</f>
        <v/>
      </c>
      <c r="F218" s="56" t="e">
        <f>IF(ISNA(Tableau6[[#This Row],[Position 2021]]),Tableau6[[#This Row],[Position 2021]],Tableau6[[#This Row],[2021]]-E$2)</f>
        <v>#N/A</v>
      </c>
      <c r="G218" s="35" t="e">
        <f>MATCH(Tableau6[Jours Mois]&amp;"/"&amp;Tableau6[[#Headers],[2022]],tabSuiviConso[Jour Mois Année],0)</f>
        <v>#N/A</v>
      </c>
      <c r="H218" s="35" t="str">
        <f>IF(ISNA(Tableau6[[#This Row],[Position 2022]]),"",INDEX(tabSuiviConso[HP + HC
cumul],Tableau6[[#This Row],[Position 2022]],1))</f>
        <v/>
      </c>
      <c r="I218" s="56" t="e">
        <f>IF(ISNA(Tableau6[[#This Row],[Position 2022]]),Tableau6[[#This Row],[Position 2022]],Tableau6[[#This Row],[2022]]-H$2)</f>
        <v>#N/A</v>
      </c>
      <c r="J218" s="35" t="e">
        <f>MATCH(Tableau6[Jours Mois]&amp;"/"&amp;Tableau6[[#Headers],[2023]],tabSuiviConso[Jour Mois Année],0)</f>
        <v>#N/A</v>
      </c>
      <c r="K218" s="35" t="e">
        <f>Tableau6[[#This Row],[Cumul 2022]]-Tableau6[[#This Row],[Cumul 2021]]</f>
        <v>#N/A</v>
      </c>
      <c r="L218" s="37" t="e">
        <f>Tableau6[[#This Row],[Ecart 2021 2022]]/Tableau6[[#This Row],[Cumul 2021]]</f>
        <v>#N/A</v>
      </c>
      <c r="M218" s="35" t="str">
        <f>IF(ISNA(Tableau6[[#This Row],[Position 2023]]),"",INDEX(tabSuiviConso[HP + HC
cumul],Tableau6[[#This Row],[Position 2023]],1))</f>
        <v/>
      </c>
      <c r="N218" s="56" t="e">
        <f>IF(ISNA(Tableau6[[#This Row],[Position 2023]]),Tableau6[[#This Row],[Position 2023]],Tableau6[[#This Row],[2023]]-M$2)</f>
        <v>#N/A</v>
      </c>
      <c r="O218" s="35" t="e">
        <f>Tableau6[[#This Row],[Cumul 2023]]-Tableau6[[#This Row],[Cumul 2022]]</f>
        <v>#N/A</v>
      </c>
      <c r="P218" s="37" t="e">
        <f>Tableau6[[#This Row],[Ecart 2022 2023]]/Tableau6[[#This Row],[Cumul 2022]]</f>
        <v>#N/A</v>
      </c>
      <c r="Q218" s="35" t="e">
        <f>MATCH(Tableau6[Jours Mois]&amp;"/"&amp;Tableau6[[#Headers],[2024]],tabSuiviConso[Jour Mois Année],0)</f>
        <v>#N/A</v>
      </c>
      <c r="R218" s="35" t="str">
        <f>IF(ISNA(Tableau6[[#This Row],[Position 2024]]),"",INDEX(tabSuiviConso[HP + HC
cumul],Tableau6[[#This Row],[Position 2024]],1))</f>
        <v/>
      </c>
      <c r="S218" s="56" t="e">
        <f>IF(ISNA(Tableau6[[#This Row],[Position 2024]]),Tableau6[[#This Row],[Position 2024]],Tableau6[[#This Row],[2024]]-R$2)</f>
        <v>#N/A</v>
      </c>
      <c r="T218" s="35" t="e">
        <f>Tableau6[[#This Row],[Cumul 2024]]-Tableau6[[#This Row],[Cumul 2023]]</f>
        <v>#N/A</v>
      </c>
      <c r="U218" s="36" t="e">
        <f>Tableau6[[#This Row],[Ecart 2023 2024]]/Tableau6[[#This Row],[Cumul 2023]]</f>
        <v>#N/A</v>
      </c>
    </row>
    <row r="219" spans="1:21" x14ac:dyDescent="0.2">
      <c r="A219" s="35">
        <v>8</v>
      </c>
      <c r="B219" s="35">
        <v>4</v>
      </c>
      <c r="C219" s="35" t="str">
        <f>Tableau6[Jour]&amp;"/"&amp;Tableau6[Mois]</f>
        <v>4/8</v>
      </c>
      <c r="D219" s="35" t="e">
        <f>MATCH(Tableau6[Jours Mois]&amp;"/"&amp;Tableau6[[#Headers],[2021]],tabSuiviConso[Jour Mois Année],0)</f>
        <v>#N/A</v>
      </c>
      <c r="E219" s="35" t="str">
        <f>IF(ISNA(Tableau6[[#This Row],[Position 2021]]),"",INDEX(tabSuiviConso[HP + HC
cumul],Tableau6[[#This Row],[Position 2021]],1))</f>
        <v/>
      </c>
      <c r="F219" s="56" t="e">
        <f>IF(ISNA(Tableau6[[#This Row],[Position 2021]]),Tableau6[[#This Row],[Position 2021]],Tableau6[[#This Row],[2021]]-E$2)</f>
        <v>#N/A</v>
      </c>
      <c r="G219" s="35" t="e">
        <f>MATCH(Tableau6[Jours Mois]&amp;"/"&amp;Tableau6[[#Headers],[2022]],tabSuiviConso[Jour Mois Année],0)</f>
        <v>#N/A</v>
      </c>
      <c r="H219" s="35" t="str">
        <f>IF(ISNA(Tableau6[[#This Row],[Position 2022]]),"",INDEX(tabSuiviConso[HP + HC
cumul],Tableau6[[#This Row],[Position 2022]],1))</f>
        <v/>
      </c>
      <c r="I219" s="56" t="e">
        <f>IF(ISNA(Tableau6[[#This Row],[Position 2022]]),Tableau6[[#This Row],[Position 2022]],Tableau6[[#This Row],[2022]]-H$2)</f>
        <v>#N/A</v>
      </c>
      <c r="J219" s="35" t="e">
        <f>MATCH(Tableau6[Jours Mois]&amp;"/"&amp;Tableau6[[#Headers],[2023]],tabSuiviConso[Jour Mois Année],0)</f>
        <v>#N/A</v>
      </c>
      <c r="K219" s="35" t="e">
        <f>Tableau6[[#This Row],[Cumul 2022]]-Tableau6[[#This Row],[Cumul 2021]]</f>
        <v>#N/A</v>
      </c>
      <c r="L219" s="37" t="e">
        <f>Tableau6[[#This Row],[Ecart 2021 2022]]/Tableau6[[#This Row],[Cumul 2021]]</f>
        <v>#N/A</v>
      </c>
      <c r="M219" s="35" t="str">
        <f>IF(ISNA(Tableau6[[#This Row],[Position 2023]]),"",INDEX(tabSuiviConso[HP + HC
cumul],Tableau6[[#This Row],[Position 2023]],1))</f>
        <v/>
      </c>
      <c r="N219" s="56" t="e">
        <f>IF(ISNA(Tableau6[[#This Row],[Position 2023]]),Tableau6[[#This Row],[Position 2023]],Tableau6[[#This Row],[2023]]-M$2)</f>
        <v>#N/A</v>
      </c>
      <c r="O219" s="35" t="e">
        <f>Tableau6[[#This Row],[Cumul 2023]]-Tableau6[[#This Row],[Cumul 2022]]</f>
        <v>#N/A</v>
      </c>
      <c r="P219" s="37" t="e">
        <f>Tableau6[[#This Row],[Ecart 2022 2023]]/Tableau6[[#This Row],[Cumul 2022]]</f>
        <v>#N/A</v>
      </c>
      <c r="Q219" s="35" t="e">
        <f>MATCH(Tableau6[Jours Mois]&amp;"/"&amp;Tableau6[[#Headers],[2024]],tabSuiviConso[Jour Mois Année],0)</f>
        <v>#N/A</v>
      </c>
      <c r="R219" s="35" t="str">
        <f>IF(ISNA(Tableau6[[#This Row],[Position 2024]]),"",INDEX(tabSuiviConso[HP + HC
cumul],Tableau6[[#This Row],[Position 2024]],1))</f>
        <v/>
      </c>
      <c r="S219" s="56" t="e">
        <f>IF(ISNA(Tableau6[[#This Row],[Position 2024]]),Tableau6[[#This Row],[Position 2024]],Tableau6[[#This Row],[2024]]-R$2)</f>
        <v>#N/A</v>
      </c>
      <c r="T219" s="35" t="e">
        <f>Tableau6[[#This Row],[Cumul 2024]]-Tableau6[[#This Row],[Cumul 2023]]</f>
        <v>#N/A</v>
      </c>
      <c r="U219" s="36" t="e">
        <f>Tableau6[[#This Row],[Ecart 2023 2024]]/Tableau6[[#This Row],[Cumul 2023]]</f>
        <v>#N/A</v>
      </c>
    </row>
    <row r="220" spans="1:21" x14ac:dyDescent="0.2">
      <c r="A220" s="35">
        <v>8</v>
      </c>
      <c r="B220" s="35">
        <v>5</v>
      </c>
      <c r="C220" s="35" t="str">
        <f>Tableau6[Jour]&amp;"/"&amp;Tableau6[Mois]</f>
        <v>5/8</v>
      </c>
      <c r="D220" s="35" t="e">
        <f>MATCH(Tableau6[Jours Mois]&amp;"/"&amp;Tableau6[[#Headers],[2021]],tabSuiviConso[Jour Mois Année],0)</f>
        <v>#N/A</v>
      </c>
      <c r="E220" s="35" t="str">
        <f>IF(ISNA(Tableau6[[#This Row],[Position 2021]]),"",INDEX(tabSuiviConso[HP + HC
cumul],Tableau6[[#This Row],[Position 2021]],1))</f>
        <v/>
      </c>
      <c r="F220" s="56" t="e">
        <f>IF(ISNA(Tableau6[[#This Row],[Position 2021]]),Tableau6[[#This Row],[Position 2021]],Tableau6[[#This Row],[2021]]-E$2)</f>
        <v>#N/A</v>
      </c>
      <c r="G220" s="35" t="e">
        <f>MATCH(Tableau6[Jours Mois]&amp;"/"&amp;Tableau6[[#Headers],[2022]],tabSuiviConso[Jour Mois Année],0)</f>
        <v>#N/A</v>
      </c>
      <c r="H220" s="35" t="str">
        <f>IF(ISNA(Tableau6[[#This Row],[Position 2022]]),"",INDEX(tabSuiviConso[HP + HC
cumul],Tableau6[[#This Row],[Position 2022]],1))</f>
        <v/>
      </c>
      <c r="I220" s="56" t="e">
        <f>IF(ISNA(Tableau6[[#This Row],[Position 2022]]),Tableau6[[#This Row],[Position 2022]],Tableau6[[#This Row],[2022]]-H$2)</f>
        <v>#N/A</v>
      </c>
      <c r="J220" s="35" t="e">
        <f>MATCH(Tableau6[Jours Mois]&amp;"/"&amp;Tableau6[[#Headers],[2023]],tabSuiviConso[Jour Mois Année],0)</f>
        <v>#N/A</v>
      </c>
      <c r="K220" s="35" t="e">
        <f>Tableau6[[#This Row],[Cumul 2022]]-Tableau6[[#This Row],[Cumul 2021]]</f>
        <v>#N/A</v>
      </c>
      <c r="L220" s="37" t="e">
        <f>Tableau6[[#This Row],[Ecart 2021 2022]]/Tableau6[[#This Row],[Cumul 2021]]</f>
        <v>#N/A</v>
      </c>
      <c r="M220" s="35" t="str">
        <f>IF(ISNA(Tableau6[[#This Row],[Position 2023]]),"",INDEX(tabSuiviConso[HP + HC
cumul],Tableau6[[#This Row],[Position 2023]],1))</f>
        <v/>
      </c>
      <c r="N220" s="56" t="e">
        <f>IF(ISNA(Tableau6[[#This Row],[Position 2023]]),Tableau6[[#This Row],[Position 2023]],Tableau6[[#This Row],[2023]]-M$2)</f>
        <v>#N/A</v>
      </c>
      <c r="O220" s="35" t="e">
        <f>Tableau6[[#This Row],[Cumul 2023]]-Tableau6[[#This Row],[Cumul 2022]]</f>
        <v>#N/A</v>
      </c>
      <c r="P220" s="37" t="e">
        <f>Tableau6[[#This Row],[Ecart 2022 2023]]/Tableau6[[#This Row],[Cumul 2022]]</f>
        <v>#N/A</v>
      </c>
      <c r="Q220" s="35" t="e">
        <f>MATCH(Tableau6[Jours Mois]&amp;"/"&amp;Tableau6[[#Headers],[2024]],tabSuiviConso[Jour Mois Année],0)</f>
        <v>#N/A</v>
      </c>
      <c r="R220" s="35" t="str">
        <f>IF(ISNA(Tableau6[[#This Row],[Position 2024]]),"",INDEX(tabSuiviConso[HP + HC
cumul],Tableau6[[#This Row],[Position 2024]],1))</f>
        <v/>
      </c>
      <c r="S220" s="56" t="e">
        <f>IF(ISNA(Tableau6[[#This Row],[Position 2024]]),Tableau6[[#This Row],[Position 2024]],Tableau6[[#This Row],[2024]]-R$2)</f>
        <v>#N/A</v>
      </c>
      <c r="T220" s="35" t="e">
        <f>Tableau6[[#This Row],[Cumul 2024]]-Tableau6[[#This Row],[Cumul 2023]]</f>
        <v>#N/A</v>
      </c>
      <c r="U220" s="36" t="e">
        <f>Tableau6[[#This Row],[Ecart 2023 2024]]/Tableau6[[#This Row],[Cumul 2023]]</f>
        <v>#N/A</v>
      </c>
    </row>
    <row r="221" spans="1:21" x14ac:dyDescent="0.2">
      <c r="A221" s="35">
        <v>8</v>
      </c>
      <c r="B221" s="35">
        <v>6</v>
      </c>
      <c r="C221" s="35" t="str">
        <f>Tableau6[Jour]&amp;"/"&amp;Tableau6[Mois]</f>
        <v>6/8</v>
      </c>
      <c r="D221" s="35" t="e">
        <f>MATCH(Tableau6[Jours Mois]&amp;"/"&amp;Tableau6[[#Headers],[2021]],tabSuiviConso[Jour Mois Année],0)</f>
        <v>#N/A</v>
      </c>
      <c r="E221" s="35" t="str">
        <f>IF(ISNA(Tableau6[[#This Row],[Position 2021]]),"",INDEX(tabSuiviConso[HP + HC
cumul],Tableau6[[#This Row],[Position 2021]],1))</f>
        <v/>
      </c>
      <c r="F221" s="56" t="e">
        <f>IF(ISNA(Tableau6[[#This Row],[Position 2021]]),Tableau6[[#This Row],[Position 2021]],Tableau6[[#This Row],[2021]]-E$2)</f>
        <v>#N/A</v>
      </c>
      <c r="G221" s="35" t="e">
        <f>MATCH(Tableau6[Jours Mois]&amp;"/"&amp;Tableau6[[#Headers],[2022]],tabSuiviConso[Jour Mois Année],0)</f>
        <v>#N/A</v>
      </c>
      <c r="H221" s="35" t="str">
        <f>IF(ISNA(Tableau6[[#This Row],[Position 2022]]),"",INDEX(tabSuiviConso[HP + HC
cumul],Tableau6[[#This Row],[Position 2022]],1))</f>
        <v/>
      </c>
      <c r="I221" s="56" t="e">
        <f>IF(ISNA(Tableau6[[#This Row],[Position 2022]]),Tableau6[[#This Row],[Position 2022]],Tableau6[[#This Row],[2022]]-H$2)</f>
        <v>#N/A</v>
      </c>
      <c r="J221" s="35" t="e">
        <f>MATCH(Tableau6[Jours Mois]&amp;"/"&amp;Tableau6[[#Headers],[2023]],tabSuiviConso[Jour Mois Année],0)</f>
        <v>#N/A</v>
      </c>
      <c r="K221" s="35" t="e">
        <f>Tableau6[[#This Row],[Cumul 2022]]-Tableau6[[#This Row],[Cumul 2021]]</f>
        <v>#N/A</v>
      </c>
      <c r="L221" s="37" t="e">
        <f>Tableau6[[#This Row],[Ecart 2021 2022]]/Tableau6[[#This Row],[Cumul 2021]]</f>
        <v>#N/A</v>
      </c>
      <c r="M221" s="35" t="str">
        <f>IF(ISNA(Tableau6[[#This Row],[Position 2023]]),"",INDEX(tabSuiviConso[HP + HC
cumul],Tableau6[[#This Row],[Position 2023]],1))</f>
        <v/>
      </c>
      <c r="N221" s="56" t="e">
        <f>IF(ISNA(Tableau6[[#This Row],[Position 2023]]),Tableau6[[#This Row],[Position 2023]],Tableau6[[#This Row],[2023]]-M$2)</f>
        <v>#N/A</v>
      </c>
      <c r="O221" s="35" t="e">
        <f>Tableau6[[#This Row],[Cumul 2023]]-Tableau6[[#This Row],[Cumul 2022]]</f>
        <v>#N/A</v>
      </c>
      <c r="P221" s="37" t="e">
        <f>Tableau6[[#This Row],[Ecart 2022 2023]]/Tableau6[[#This Row],[Cumul 2022]]</f>
        <v>#N/A</v>
      </c>
      <c r="Q221" s="35" t="e">
        <f>MATCH(Tableau6[Jours Mois]&amp;"/"&amp;Tableau6[[#Headers],[2024]],tabSuiviConso[Jour Mois Année],0)</f>
        <v>#N/A</v>
      </c>
      <c r="R221" s="35" t="str">
        <f>IF(ISNA(Tableau6[[#This Row],[Position 2024]]),"",INDEX(tabSuiviConso[HP + HC
cumul],Tableau6[[#This Row],[Position 2024]],1))</f>
        <v/>
      </c>
      <c r="S221" s="56" t="e">
        <f>IF(ISNA(Tableau6[[#This Row],[Position 2024]]),Tableau6[[#This Row],[Position 2024]],Tableau6[[#This Row],[2024]]-R$2)</f>
        <v>#N/A</v>
      </c>
      <c r="T221" s="35" t="e">
        <f>Tableau6[[#This Row],[Cumul 2024]]-Tableau6[[#This Row],[Cumul 2023]]</f>
        <v>#N/A</v>
      </c>
      <c r="U221" s="36" t="e">
        <f>Tableau6[[#This Row],[Ecart 2023 2024]]/Tableau6[[#This Row],[Cumul 2023]]</f>
        <v>#N/A</v>
      </c>
    </row>
    <row r="222" spans="1:21" x14ac:dyDescent="0.2">
      <c r="A222" s="35">
        <v>8</v>
      </c>
      <c r="B222" s="35">
        <v>7</v>
      </c>
      <c r="C222" s="35" t="str">
        <f>Tableau6[Jour]&amp;"/"&amp;Tableau6[Mois]</f>
        <v>7/8</v>
      </c>
      <c r="D222" s="35" t="e">
        <f>MATCH(Tableau6[Jours Mois]&amp;"/"&amp;Tableau6[[#Headers],[2021]],tabSuiviConso[Jour Mois Année],0)</f>
        <v>#N/A</v>
      </c>
      <c r="E222" s="35" t="str">
        <f>IF(ISNA(Tableau6[[#This Row],[Position 2021]]),"",INDEX(tabSuiviConso[HP + HC
cumul],Tableau6[[#This Row],[Position 2021]],1))</f>
        <v/>
      </c>
      <c r="F222" s="56" t="e">
        <f>IF(ISNA(Tableau6[[#This Row],[Position 2021]]),Tableau6[[#This Row],[Position 2021]],Tableau6[[#This Row],[2021]]-E$2)</f>
        <v>#N/A</v>
      </c>
      <c r="G222" s="35" t="e">
        <f>MATCH(Tableau6[Jours Mois]&amp;"/"&amp;Tableau6[[#Headers],[2022]],tabSuiviConso[Jour Mois Année],0)</f>
        <v>#N/A</v>
      </c>
      <c r="H222" s="35" t="str">
        <f>IF(ISNA(Tableau6[[#This Row],[Position 2022]]),"",INDEX(tabSuiviConso[HP + HC
cumul],Tableau6[[#This Row],[Position 2022]],1))</f>
        <v/>
      </c>
      <c r="I222" s="56" t="e">
        <f>IF(ISNA(Tableau6[[#This Row],[Position 2022]]),Tableau6[[#This Row],[Position 2022]],Tableau6[[#This Row],[2022]]-H$2)</f>
        <v>#N/A</v>
      </c>
      <c r="J222" s="35" t="e">
        <f>MATCH(Tableau6[Jours Mois]&amp;"/"&amp;Tableau6[[#Headers],[2023]],tabSuiviConso[Jour Mois Année],0)</f>
        <v>#N/A</v>
      </c>
      <c r="K222" s="35" t="e">
        <f>Tableau6[[#This Row],[Cumul 2022]]-Tableau6[[#This Row],[Cumul 2021]]</f>
        <v>#N/A</v>
      </c>
      <c r="L222" s="37" t="e">
        <f>Tableau6[[#This Row],[Ecart 2021 2022]]/Tableau6[[#This Row],[Cumul 2021]]</f>
        <v>#N/A</v>
      </c>
      <c r="M222" s="35" t="str">
        <f>IF(ISNA(Tableau6[[#This Row],[Position 2023]]),"",INDEX(tabSuiviConso[HP + HC
cumul],Tableau6[[#This Row],[Position 2023]],1))</f>
        <v/>
      </c>
      <c r="N222" s="56" t="e">
        <f>IF(ISNA(Tableau6[[#This Row],[Position 2023]]),Tableau6[[#This Row],[Position 2023]],Tableau6[[#This Row],[2023]]-M$2)</f>
        <v>#N/A</v>
      </c>
      <c r="O222" s="35" t="e">
        <f>Tableau6[[#This Row],[Cumul 2023]]-Tableau6[[#This Row],[Cumul 2022]]</f>
        <v>#N/A</v>
      </c>
      <c r="P222" s="37" t="e">
        <f>Tableau6[[#This Row],[Ecart 2022 2023]]/Tableau6[[#This Row],[Cumul 2022]]</f>
        <v>#N/A</v>
      </c>
      <c r="Q222" s="35" t="e">
        <f>MATCH(Tableau6[Jours Mois]&amp;"/"&amp;Tableau6[[#Headers],[2024]],tabSuiviConso[Jour Mois Année],0)</f>
        <v>#N/A</v>
      </c>
      <c r="R222" s="35" t="str">
        <f>IF(ISNA(Tableau6[[#This Row],[Position 2024]]),"",INDEX(tabSuiviConso[HP + HC
cumul],Tableau6[[#This Row],[Position 2024]],1))</f>
        <v/>
      </c>
      <c r="S222" s="56" t="e">
        <f>IF(ISNA(Tableau6[[#This Row],[Position 2024]]),Tableau6[[#This Row],[Position 2024]],Tableau6[[#This Row],[2024]]-R$2)</f>
        <v>#N/A</v>
      </c>
      <c r="T222" s="35" t="e">
        <f>Tableau6[[#This Row],[Cumul 2024]]-Tableau6[[#This Row],[Cumul 2023]]</f>
        <v>#N/A</v>
      </c>
      <c r="U222" s="36" t="e">
        <f>Tableau6[[#This Row],[Ecart 2023 2024]]/Tableau6[[#This Row],[Cumul 2023]]</f>
        <v>#N/A</v>
      </c>
    </row>
    <row r="223" spans="1:21" x14ac:dyDescent="0.2">
      <c r="A223" s="35">
        <v>8</v>
      </c>
      <c r="B223" s="35">
        <v>8</v>
      </c>
      <c r="C223" s="35" t="str">
        <f>Tableau6[Jour]&amp;"/"&amp;Tableau6[Mois]</f>
        <v>8/8</v>
      </c>
      <c r="D223" s="35" t="e">
        <f>MATCH(Tableau6[Jours Mois]&amp;"/"&amp;Tableau6[[#Headers],[2021]],tabSuiviConso[Jour Mois Année],0)</f>
        <v>#N/A</v>
      </c>
      <c r="E223" s="35" t="str">
        <f>IF(ISNA(Tableau6[[#This Row],[Position 2021]]),"",INDEX(tabSuiviConso[HP + HC
cumul],Tableau6[[#This Row],[Position 2021]],1))</f>
        <v/>
      </c>
      <c r="F223" s="56" t="e">
        <f>IF(ISNA(Tableau6[[#This Row],[Position 2021]]),Tableau6[[#This Row],[Position 2021]],Tableau6[[#This Row],[2021]]-E$2)</f>
        <v>#N/A</v>
      </c>
      <c r="G223" s="35" t="e">
        <f>MATCH(Tableau6[Jours Mois]&amp;"/"&amp;Tableau6[[#Headers],[2022]],tabSuiviConso[Jour Mois Année],0)</f>
        <v>#N/A</v>
      </c>
      <c r="H223" s="35" t="str">
        <f>IF(ISNA(Tableau6[[#This Row],[Position 2022]]),"",INDEX(tabSuiviConso[HP + HC
cumul],Tableau6[[#This Row],[Position 2022]],1))</f>
        <v/>
      </c>
      <c r="I223" s="56" t="e">
        <f>IF(ISNA(Tableau6[[#This Row],[Position 2022]]),Tableau6[[#This Row],[Position 2022]],Tableau6[[#This Row],[2022]]-H$2)</f>
        <v>#N/A</v>
      </c>
      <c r="J223" s="35" t="e">
        <f>MATCH(Tableau6[Jours Mois]&amp;"/"&amp;Tableau6[[#Headers],[2023]],tabSuiviConso[Jour Mois Année],0)</f>
        <v>#N/A</v>
      </c>
      <c r="K223" s="35" t="e">
        <f>Tableau6[[#This Row],[Cumul 2022]]-Tableau6[[#This Row],[Cumul 2021]]</f>
        <v>#N/A</v>
      </c>
      <c r="L223" s="37" t="e">
        <f>Tableau6[[#This Row],[Ecart 2021 2022]]/Tableau6[[#This Row],[Cumul 2021]]</f>
        <v>#N/A</v>
      </c>
      <c r="M223" s="35" t="str">
        <f>IF(ISNA(Tableau6[[#This Row],[Position 2023]]),"",INDEX(tabSuiviConso[HP + HC
cumul],Tableau6[[#This Row],[Position 2023]],1))</f>
        <v/>
      </c>
      <c r="N223" s="56" t="e">
        <f>IF(ISNA(Tableau6[[#This Row],[Position 2023]]),Tableau6[[#This Row],[Position 2023]],Tableau6[[#This Row],[2023]]-M$2)</f>
        <v>#N/A</v>
      </c>
      <c r="O223" s="35" t="e">
        <f>Tableau6[[#This Row],[Cumul 2023]]-Tableau6[[#This Row],[Cumul 2022]]</f>
        <v>#N/A</v>
      </c>
      <c r="P223" s="37" t="e">
        <f>Tableau6[[#This Row],[Ecart 2022 2023]]/Tableau6[[#This Row],[Cumul 2022]]</f>
        <v>#N/A</v>
      </c>
      <c r="Q223" s="35" t="e">
        <f>MATCH(Tableau6[Jours Mois]&amp;"/"&amp;Tableau6[[#Headers],[2024]],tabSuiviConso[Jour Mois Année],0)</f>
        <v>#N/A</v>
      </c>
      <c r="R223" s="35" t="str">
        <f>IF(ISNA(Tableau6[[#This Row],[Position 2024]]),"",INDEX(tabSuiviConso[HP + HC
cumul],Tableau6[[#This Row],[Position 2024]],1))</f>
        <v/>
      </c>
      <c r="S223" s="56" t="e">
        <f>IF(ISNA(Tableau6[[#This Row],[Position 2024]]),Tableau6[[#This Row],[Position 2024]],Tableau6[[#This Row],[2024]]-R$2)</f>
        <v>#N/A</v>
      </c>
      <c r="T223" s="35" t="e">
        <f>Tableau6[[#This Row],[Cumul 2024]]-Tableau6[[#This Row],[Cumul 2023]]</f>
        <v>#N/A</v>
      </c>
      <c r="U223" s="36" t="e">
        <f>Tableau6[[#This Row],[Ecart 2023 2024]]/Tableau6[[#This Row],[Cumul 2023]]</f>
        <v>#N/A</v>
      </c>
    </row>
    <row r="224" spans="1:21" x14ac:dyDescent="0.2">
      <c r="A224" s="35">
        <v>8</v>
      </c>
      <c r="B224" s="35">
        <v>9</v>
      </c>
      <c r="C224" s="35" t="str">
        <f>Tableau6[Jour]&amp;"/"&amp;Tableau6[Mois]</f>
        <v>9/8</v>
      </c>
      <c r="D224" s="35" t="e">
        <f>MATCH(Tableau6[Jours Mois]&amp;"/"&amp;Tableau6[[#Headers],[2021]],tabSuiviConso[Jour Mois Année],0)</f>
        <v>#N/A</v>
      </c>
      <c r="E224" s="35" t="str">
        <f>IF(ISNA(Tableau6[[#This Row],[Position 2021]]),"",INDEX(tabSuiviConso[HP + HC
cumul],Tableau6[[#This Row],[Position 2021]],1))</f>
        <v/>
      </c>
      <c r="F224" s="56" t="e">
        <f>IF(ISNA(Tableau6[[#This Row],[Position 2021]]),Tableau6[[#This Row],[Position 2021]],Tableau6[[#This Row],[2021]]-E$2)</f>
        <v>#N/A</v>
      </c>
      <c r="G224" s="35" t="e">
        <f>MATCH(Tableau6[Jours Mois]&amp;"/"&amp;Tableau6[[#Headers],[2022]],tabSuiviConso[Jour Mois Année],0)</f>
        <v>#N/A</v>
      </c>
      <c r="H224" s="35" t="str">
        <f>IF(ISNA(Tableau6[[#This Row],[Position 2022]]),"",INDEX(tabSuiviConso[HP + HC
cumul],Tableau6[[#This Row],[Position 2022]],1))</f>
        <v/>
      </c>
      <c r="I224" s="56" t="e">
        <f>IF(ISNA(Tableau6[[#This Row],[Position 2022]]),Tableau6[[#This Row],[Position 2022]],Tableau6[[#This Row],[2022]]-H$2)</f>
        <v>#N/A</v>
      </c>
      <c r="J224" s="35" t="e">
        <f>MATCH(Tableau6[Jours Mois]&amp;"/"&amp;Tableau6[[#Headers],[2023]],tabSuiviConso[Jour Mois Année],0)</f>
        <v>#N/A</v>
      </c>
      <c r="K224" s="35" t="e">
        <f>Tableau6[[#This Row],[Cumul 2022]]-Tableau6[[#This Row],[Cumul 2021]]</f>
        <v>#N/A</v>
      </c>
      <c r="L224" s="37" t="e">
        <f>Tableau6[[#This Row],[Ecart 2021 2022]]/Tableau6[[#This Row],[Cumul 2021]]</f>
        <v>#N/A</v>
      </c>
      <c r="M224" s="35" t="str">
        <f>IF(ISNA(Tableau6[[#This Row],[Position 2023]]),"",INDEX(tabSuiviConso[HP + HC
cumul],Tableau6[[#This Row],[Position 2023]],1))</f>
        <v/>
      </c>
      <c r="N224" s="56" t="e">
        <f>IF(ISNA(Tableau6[[#This Row],[Position 2023]]),Tableau6[[#This Row],[Position 2023]],Tableau6[[#This Row],[2023]]-M$2)</f>
        <v>#N/A</v>
      </c>
      <c r="O224" s="35" t="e">
        <f>Tableau6[[#This Row],[Cumul 2023]]-Tableau6[[#This Row],[Cumul 2022]]</f>
        <v>#N/A</v>
      </c>
      <c r="P224" s="37" t="e">
        <f>Tableau6[[#This Row],[Ecart 2022 2023]]/Tableau6[[#This Row],[Cumul 2022]]</f>
        <v>#N/A</v>
      </c>
      <c r="Q224" s="35" t="e">
        <f>MATCH(Tableau6[Jours Mois]&amp;"/"&amp;Tableau6[[#Headers],[2024]],tabSuiviConso[Jour Mois Année],0)</f>
        <v>#N/A</v>
      </c>
      <c r="R224" s="35" t="str">
        <f>IF(ISNA(Tableau6[[#This Row],[Position 2024]]),"",INDEX(tabSuiviConso[HP + HC
cumul],Tableau6[[#This Row],[Position 2024]],1))</f>
        <v/>
      </c>
      <c r="S224" s="56" t="e">
        <f>IF(ISNA(Tableau6[[#This Row],[Position 2024]]),Tableau6[[#This Row],[Position 2024]],Tableau6[[#This Row],[2024]]-R$2)</f>
        <v>#N/A</v>
      </c>
      <c r="T224" s="35" t="e">
        <f>Tableau6[[#This Row],[Cumul 2024]]-Tableau6[[#This Row],[Cumul 2023]]</f>
        <v>#N/A</v>
      </c>
      <c r="U224" s="36" t="e">
        <f>Tableau6[[#This Row],[Ecart 2023 2024]]/Tableau6[[#This Row],[Cumul 2023]]</f>
        <v>#N/A</v>
      </c>
    </row>
    <row r="225" spans="1:21" x14ac:dyDescent="0.2">
      <c r="A225" s="35">
        <v>8</v>
      </c>
      <c r="B225" s="35">
        <v>10</v>
      </c>
      <c r="C225" s="35" t="str">
        <f>Tableau6[Jour]&amp;"/"&amp;Tableau6[Mois]</f>
        <v>10/8</v>
      </c>
      <c r="D225" s="35" t="e">
        <f>MATCH(Tableau6[Jours Mois]&amp;"/"&amp;Tableau6[[#Headers],[2021]],tabSuiviConso[Jour Mois Année],0)</f>
        <v>#N/A</v>
      </c>
      <c r="E225" s="35" t="str">
        <f>IF(ISNA(Tableau6[[#This Row],[Position 2021]]),"",INDEX(tabSuiviConso[HP + HC
cumul],Tableau6[[#This Row],[Position 2021]],1))</f>
        <v/>
      </c>
      <c r="F225" s="56" t="e">
        <f>IF(ISNA(Tableau6[[#This Row],[Position 2021]]),Tableau6[[#This Row],[Position 2021]],Tableau6[[#This Row],[2021]]-E$2)</f>
        <v>#N/A</v>
      </c>
      <c r="G225" s="35" t="e">
        <f>MATCH(Tableau6[Jours Mois]&amp;"/"&amp;Tableau6[[#Headers],[2022]],tabSuiviConso[Jour Mois Année],0)</f>
        <v>#N/A</v>
      </c>
      <c r="H225" s="35" t="str">
        <f>IF(ISNA(Tableau6[[#This Row],[Position 2022]]),"",INDEX(tabSuiviConso[HP + HC
cumul],Tableau6[[#This Row],[Position 2022]],1))</f>
        <v/>
      </c>
      <c r="I225" s="56" t="e">
        <f>IF(ISNA(Tableau6[[#This Row],[Position 2022]]),Tableau6[[#This Row],[Position 2022]],Tableau6[[#This Row],[2022]]-H$2)</f>
        <v>#N/A</v>
      </c>
      <c r="J225" s="35" t="e">
        <f>MATCH(Tableau6[Jours Mois]&amp;"/"&amp;Tableau6[[#Headers],[2023]],tabSuiviConso[Jour Mois Année],0)</f>
        <v>#N/A</v>
      </c>
      <c r="K225" s="35" t="e">
        <f>Tableau6[[#This Row],[Cumul 2022]]-Tableau6[[#This Row],[Cumul 2021]]</f>
        <v>#N/A</v>
      </c>
      <c r="L225" s="37" t="e">
        <f>Tableau6[[#This Row],[Ecart 2021 2022]]/Tableau6[[#This Row],[Cumul 2021]]</f>
        <v>#N/A</v>
      </c>
      <c r="M225" s="35" t="str">
        <f>IF(ISNA(Tableau6[[#This Row],[Position 2023]]),"",INDEX(tabSuiviConso[HP + HC
cumul],Tableau6[[#This Row],[Position 2023]],1))</f>
        <v/>
      </c>
      <c r="N225" s="56" t="e">
        <f>IF(ISNA(Tableau6[[#This Row],[Position 2023]]),Tableau6[[#This Row],[Position 2023]],Tableau6[[#This Row],[2023]]-M$2)</f>
        <v>#N/A</v>
      </c>
      <c r="O225" s="35" t="e">
        <f>Tableau6[[#This Row],[Cumul 2023]]-Tableau6[[#This Row],[Cumul 2022]]</f>
        <v>#N/A</v>
      </c>
      <c r="P225" s="37" t="e">
        <f>Tableau6[[#This Row],[Ecart 2022 2023]]/Tableau6[[#This Row],[Cumul 2022]]</f>
        <v>#N/A</v>
      </c>
      <c r="Q225" s="35" t="e">
        <f>MATCH(Tableau6[Jours Mois]&amp;"/"&amp;Tableau6[[#Headers],[2024]],tabSuiviConso[Jour Mois Année],0)</f>
        <v>#N/A</v>
      </c>
      <c r="R225" s="35" t="str">
        <f>IF(ISNA(Tableau6[[#This Row],[Position 2024]]),"",INDEX(tabSuiviConso[HP + HC
cumul],Tableau6[[#This Row],[Position 2024]],1))</f>
        <v/>
      </c>
      <c r="S225" s="56" t="e">
        <f>IF(ISNA(Tableau6[[#This Row],[Position 2024]]),Tableau6[[#This Row],[Position 2024]],Tableau6[[#This Row],[2024]]-R$2)</f>
        <v>#N/A</v>
      </c>
      <c r="T225" s="35" t="e">
        <f>Tableau6[[#This Row],[Cumul 2024]]-Tableau6[[#This Row],[Cumul 2023]]</f>
        <v>#N/A</v>
      </c>
      <c r="U225" s="36" t="e">
        <f>Tableau6[[#This Row],[Ecart 2023 2024]]/Tableau6[[#This Row],[Cumul 2023]]</f>
        <v>#N/A</v>
      </c>
    </row>
    <row r="226" spans="1:21" x14ac:dyDescent="0.2">
      <c r="A226" s="35">
        <v>8</v>
      </c>
      <c r="B226" s="35">
        <v>11</v>
      </c>
      <c r="C226" s="35" t="str">
        <f>Tableau6[Jour]&amp;"/"&amp;Tableau6[Mois]</f>
        <v>11/8</v>
      </c>
      <c r="D226" s="35" t="e">
        <f>MATCH(Tableau6[Jours Mois]&amp;"/"&amp;Tableau6[[#Headers],[2021]],tabSuiviConso[Jour Mois Année],0)</f>
        <v>#N/A</v>
      </c>
      <c r="E226" s="35" t="str">
        <f>IF(ISNA(Tableau6[[#This Row],[Position 2021]]),"",INDEX(tabSuiviConso[HP + HC
cumul],Tableau6[[#This Row],[Position 2021]],1))</f>
        <v/>
      </c>
      <c r="F226" s="56" t="e">
        <f>IF(ISNA(Tableau6[[#This Row],[Position 2021]]),Tableau6[[#This Row],[Position 2021]],Tableau6[[#This Row],[2021]]-E$2)</f>
        <v>#N/A</v>
      </c>
      <c r="G226" s="35" t="e">
        <f>MATCH(Tableau6[Jours Mois]&amp;"/"&amp;Tableau6[[#Headers],[2022]],tabSuiviConso[Jour Mois Année],0)</f>
        <v>#N/A</v>
      </c>
      <c r="H226" s="35" t="str">
        <f>IF(ISNA(Tableau6[[#This Row],[Position 2022]]),"",INDEX(tabSuiviConso[HP + HC
cumul],Tableau6[[#This Row],[Position 2022]],1))</f>
        <v/>
      </c>
      <c r="I226" s="56" t="e">
        <f>IF(ISNA(Tableau6[[#This Row],[Position 2022]]),Tableau6[[#This Row],[Position 2022]],Tableau6[[#This Row],[2022]]-H$2)</f>
        <v>#N/A</v>
      </c>
      <c r="J226" s="35" t="e">
        <f>MATCH(Tableau6[Jours Mois]&amp;"/"&amp;Tableau6[[#Headers],[2023]],tabSuiviConso[Jour Mois Année],0)</f>
        <v>#N/A</v>
      </c>
      <c r="K226" s="35" t="e">
        <f>Tableau6[[#This Row],[Cumul 2022]]-Tableau6[[#This Row],[Cumul 2021]]</f>
        <v>#N/A</v>
      </c>
      <c r="L226" s="37" t="e">
        <f>Tableau6[[#This Row],[Ecart 2021 2022]]/Tableau6[[#This Row],[Cumul 2021]]</f>
        <v>#N/A</v>
      </c>
      <c r="M226" s="35" t="str">
        <f>IF(ISNA(Tableau6[[#This Row],[Position 2023]]),"",INDEX(tabSuiviConso[HP + HC
cumul],Tableau6[[#This Row],[Position 2023]],1))</f>
        <v/>
      </c>
      <c r="N226" s="56" t="e">
        <f>IF(ISNA(Tableau6[[#This Row],[Position 2023]]),Tableau6[[#This Row],[Position 2023]],Tableau6[[#This Row],[2023]]-M$2)</f>
        <v>#N/A</v>
      </c>
      <c r="O226" s="35" t="e">
        <f>Tableau6[[#This Row],[Cumul 2023]]-Tableau6[[#This Row],[Cumul 2022]]</f>
        <v>#N/A</v>
      </c>
      <c r="P226" s="37" t="e">
        <f>Tableau6[[#This Row],[Ecart 2022 2023]]/Tableau6[[#This Row],[Cumul 2022]]</f>
        <v>#N/A</v>
      </c>
      <c r="Q226" s="35" t="e">
        <f>MATCH(Tableau6[Jours Mois]&amp;"/"&amp;Tableau6[[#Headers],[2024]],tabSuiviConso[Jour Mois Année],0)</f>
        <v>#N/A</v>
      </c>
      <c r="R226" s="35" t="str">
        <f>IF(ISNA(Tableau6[[#This Row],[Position 2024]]),"",INDEX(tabSuiviConso[HP + HC
cumul],Tableau6[[#This Row],[Position 2024]],1))</f>
        <v/>
      </c>
      <c r="S226" s="56" t="e">
        <f>IF(ISNA(Tableau6[[#This Row],[Position 2024]]),Tableau6[[#This Row],[Position 2024]],Tableau6[[#This Row],[2024]]-R$2)</f>
        <v>#N/A</v>
      </c>
      <c r="T226" s="35" t="e">
        <f>Tableau6[[#This Row],[Cumul 2024]]-Tableau6[[#This Row],[Cumul 2023]]</f>
        <v>#N/A</v>
      </c>
      <c r="U226" s="36" t="e">
        <f>Tableau6[[#This Row],[Ecart 2023 2024]]/Tableau6[[#This Row],[Cumul 2023]]</f>
        <v>#N/A</v>
      </c>
    </row>
    <row r="227" spans="1:21" x14ac:dyDescent="0.2">
      <c r="A227" s="35">
        <v>8</v>
      </c>
      <c r="B227" s="35">
        <v>12</v>
      </c>
      <c r="C227" s="35" t="str">
        <f>Tableau6[Jour]&amp;"/"&amp;Tableau6[Mois]</f>
        <v>12/8</v>
      </c>
      <c r="D227" s="35" t="e">
        <f>MATCH(Tableau6[Jours Mois]&amp;"/"&amp;Tableau6[[#Headers],[2021]],tabSuiviConso[Jour Mois Année],0)</f>
        <v>#N/A</v>
      </c>
      <c r="E227" s="35" t="str">
        <f>IF(ISNA(Tableau6[[#This Row],[Position 2021]]),"",INDEX(tabSuiviConso[HP + HC
cumul],Tableau6[[#This Row],[Position 2021]],1))</f>
        <v/>
      </c>
      <c r="F227" s="56" t="e">
        <f>IF(ISNA(Tableau6[[#This Row],[Position 2021]]),Tableau6[[#This Row],[Position 2021]],Tableau6[[#This Row],[2021]]-E$2)</f>
        <v>#N/A</v>
      </c>
      <c r="G227" s="35" t="e">
        <f>MATCH(Tableau6[Jours Mois]&amp;"/"&amp;Tableau6[[#Headers],[2022]],tabSuiviConso[Jour Mois Année],0)</f>
        <v>#N/A</v>
      </c>
      <c r="H227" s="35" t="str">
        <f>IF(ISNA(Tableau6[[#This Row],[Position 2022]]),"",INDEX(tabSuiviConso[HP + HC
cumul],Tableau6[[#This Row],[Position 2022]],1))</f>
        <v/>
      </c>
      <c r="I227" s="56" t="e">
        <f>IF(ISNA(Tableau6[[#This Row],[Position 2022]]),Tableau6[[#This Row],[Position 2022]],Tableau6[[#This Row],[2022]]-H$2)</f>
        <v>#N/A</v>
      </c>
      <c r="J227" s="35" t="e">
        <f>MATCH(Tableau6[Jours Mois]&amp;"/"&amp;Tableau6[[#Headers],[2023]],tabSuiviConso[Jour Mois Année],0)</f>
        <v>#N/A</v>
      </c>
      <c r="K227" s="35" t="e">
        <f>Tableau6[[#This Row],[Cumul 2022]]-Tableau6[[#This Row],[Cumul 2021]]</f>
        <v>#N/A</v>
      </c>
      <c r="L227" s="37" t="e">
        <f>Tableau6[[#This Row],[Ecart 2021 2022]]/Tableau6[[#This Row],[Cumul 2021]]</f>
        <v>#N/A</v>
      </c>
      <c r="M227" s="35" t="str">
        <f>IF(ISNA(Tableau6[[#This Row],[Position 2023]]),"",INDEX(tabSuiviConso[HP + HC
cumul],Tableau6[[#This Row],[Position 2023]],1))</f>
        <v/>
      </c>
      <c r="N227" s="56" t="e">
        <f>IF(ISNA(Tableau6[[#This Row],[Position 2023]]),Tableau6[[#This Row],[Position 2023]],Tableau6[[#This Row],[2023]]-M$2)</f>
        <v>#N/A</v>
      </c>
      <c r="O227" s="35" t="e">
        <f>Tableau6[[#This Row],[Cumul 2023]]-Tableau6[[#This Row],[Cumul 2022]]</f>
        <v>#N/A</v>
      </c>
      <c r="P227" s="37" t="e">
        <f>Tableau6[[#This Row],[Ecart 2022 2023]]/Tableau6[[#This Row],[Cumul 2022]]</f>
        <v>#N/A</v>
      </c>
      <c r="Q227" s="35" t="e">
        <f>MATCH(Tableau6[Jours Mois]&amp;"/"&amp;Tableau6[[#Headers],[2024]],tabSuiviConso[Jour Mois Année],0)</f>
        <v>#N/A</v>
      </c>
      <c r="R227" s="35" t="str">
        <f>IF(ISNA(Tableau6[[#This Row],[Position 2024]]),"",INDEX(tabSuiviConso[HP + HC
cumul],Tableau6[[#This Row],[Position 2024]],1))</f>
        <v/>
      </c>
      <c r="S227" s="56" t="e">
        <f>IF(ISNA(Tableau6[[#This Row],[Position 2024]]),Tableau6[[#This Row],[Position 2024]],Tableau6[[#This Row],[2024]]-R$2)</f>
        <v>#N/A</v>
      </c>
      <c r="T227" s="35" t="e">
        <f>Tableau6[[#This Row],[Cumul 2024]]-Tableau6[[#This Row],[Cumul 2023]]</f>
        <v>#N/A</v>
      </c>
      <c r="U227" s="36" t="e">
        <f>Tableau6[[#This Row],[Ecart 2023 2024]]/Tableau6[[#This Row],[Cumul 2023]]</f>
        <v>#N/A</v>
      </c>
    </row>
    <row r="228" spans="1:21" x14ac:dyDescent="0.2">
      <c r="A228" s="35">
        <v>8</v>
      </c>
      <c r="B228" s="35">
        <v>13</v>
      </c>
      <c r="C228" s="35" t="str">
        <f>Tableau6[Jour]&amp;"/"&amp;Tableau6[Mois]</f>
        <v>13/8</v>
      </c>
      <c r="D228" s="35" t="e">
        <f>MATCH(Tableau6[Jours Mois]&amp;"/"&amp;Tableau6[[#Headers],[2021]],tabSuiviConso[Jour Mois Année],0)</f>
        <v>#N/A</v>
      </c>
      <c r="E228" s="35" t="str">
        <f>IF(ISNA(Tableau6[[#This Row],[Position 2021]]),"",INDEX(tabSuiviConso[HP + HC
cumul],Tableau6[[#This Row],[Position 2021]],1))</f>
        <v/>
      </c>
      <c r="F228" s="56" t="e">
        <f>IF(ISNA(Tableau6[[#This Row],[Position 2021]]),Tableau6[[#This Row],[Position 2021]],Tableau6[[#This Row],[2021]]-E$2)</f>
        <v>#N/A</v>
      </c>
      <c r="G228" s="35" t="e">
        <f>MATCH(Tableau6[Jours Mois]&amp;"/"&amp;Tableau6[[#Headers],[2022]],tabSuiviConso[Jour Mois Année],0)</f>
        <v>#N/A</v>
      </c>
      <c r="H228" s="35" t="str">
        <f>IF(ISNA(Tableau6[[#This Row],[Position 2022]]),"",INDEX(tabSuiviConso[HP + HC
cumul],Tableau6[[#This Row],[Position 2022]],1))</f>
        <v/>
      </c>
      <c r="I228" s="56" t="e">
        <f>IF(ISNA(Tableau6[[#This Row],[Position 2022]]),Tableau6[[#This Row],[Position 2022]],Tableau6[[#This Row],[2022]]-H$2)</f>
        <v>#N/A</v>
      </c>
      <c r="J228" s="35" t="e">
        <f>MATCH(Tableau6[Jours Mois]&amp;"/"&amp;Tableau6[[#Headers],[2023]],tabSuiviConso[Jour Mois Année],0)</f>
        <v>#N/A</v>
      </c>
      <c r="K228" s="35" t="e">
        <f>Tableau6[[#This Row],[Cumul 2022]]-Tableau6[[#This Row],[Cumul 2021]]</f>
        <v>#N/A</v>
      </c>
      <c r="L228" s="37" t="e">
        <f>Tableau6[[#This Row],[Ecart 2021 2022]]/Tableau6[[#This Row],[Cumul 2021]]</f>
        <v>#N/A</v>
      </c>
      <c r="M228" s="35" t="str">
        <f>IF(ISNA(Tableau6[[#This Row],[Position 2023]]),"",INDEX(tabSuiviConso[HP + HC
cumul],Tableau6[[#This Row],[Position 2023]],1))</f>
        <v/>
      </c>
      <c r="N228" s="56" t="e">
        <f>IF(ISNA(Tableau6[[#This Row],[Position 2023]]),Tableau6[[#This Row],[Position 2023]],Tableau6[[#This Row],[2023]]-M$2)</f>
        <v>#N/A</v>
      </c>
      <c r="O228" s="35" t="e">
        <f>Tableau6[[#This Row],[Cumul 2023]]-Tableau6[[#This Row],[Cumul 2022]]</f>
        <v>#N/A</v>
      </c>
      <c r="P228" s="37" t="e">
        <f>Tableau6[[#This Row],[Ecart 2022 2023]]/Tableau6[[#This Row],[Cumul 2022]]</f>
        <v>#N/A</v>
      </c>
      <c r="Q228" s="35" t="e">
        <f>MATCH(Tableau6[Jours Mois]&amp;"/"&amp;Tableau6[[#Headers],[2024]],tabSuiviConso[Jour Mois Année],0)</f>
        <v>#N/A</v>
      </c>
      <c r="R228" s="35" t="str">
        <f>IF(ISNA(Tableau6[[#This Row],[Position 2024]]),"",INDEX(tabSuiviConso[HP + HC
cumul],Tableau6[[#This Row],[Position 2024]],1))</f>
        <v/>
      </c>
      <c r="S228" s="56" t="e">
        <f>IF(ISNA(Tableau6[[#This Row],[Position 2024]]),Tableau6[[#This Row],[Position 2024]],Tableau6[[#This Row],[2024]]-R$2)</f>
        <v>#N/A</v>
      </c>
      <c r="T228" s="35" t="e">
        <f>Tableau6[[#This Row],[Cumul 2024]]-Tableau6[[#This Row],[Cumul 2023]]</f>
        <v>#N/A</v>
      </c>
      <c r="U228" s="36" t="e">
        <f>Tableau6[[#This Row],[Ecart 2023 2024]]/Tableau6[[#This Row],[Cumul 2023]]</f>
        <v>#N/A</v>
      </c>
    </row>
    <row r="229" spans="1:21" x14ac:dyDescent="0.2">
      <c r="A229" s="35">
        <v>8</v>
      </c>
      <c r="B229" s="35">
        <v>14</v>
      </c>
      <c r="C229" s="35" t="str">
        <f>Tableau6[Jour]&amp;"/"&amp;Tableau6[Mois]</f>
        <v>14/8</v>
      </c>
      <c r="D229" s="35" t="e">
        <f>MATCH(Tableau6[Jours Mois]&amp;"/"&amp;Tableau6[[#Headers],[2021]],tabSuiviConso[Jour Mois Année],0)</f>
        <v>#N/A</v>
      </c>
      <c r="E229" s="35" t="str">
        <f>IF(ISNA(Tableau6[[#This Row],[Position 2021]]),"",INDEX(tabSuiviConso[HP + HC
cumul],Tableau6[[#This Row],[Position 2021]],1))</f>
        <v/>
      </c>
      <c r="F229" s="56" t="e">
        <f>IF(ISNA(Tableau6[[#This Row],[Position 2021]]),Tableau6[[#This Row],[Position 2021]],Tableau6[[#This Row],[2021]]-E$2)</f>
        <v>#N/A</v>
      </c>
      <c r="G229" s="35" t="e">
        <f>MATCH(Tableau6[Jours Mois]&amp;"/"&amp;Tableau6[[#Headers],[2022]],tabSuiviConso[Jour Mois Année],0)</f>
        <v>#N/A</v>
      </c>
      <c r="H229" s="35" t="str">
        <f>IF(ISNA(Tableau6[[#This Row],[Position 2022]]),"",INDEX(tabSuiviConso[HP + HC
cumul],Tableau6[[#This Row],[Position 2022]],1))</f>
        <v/>
      </c>
      <c r="I229" s="56" t="e">
        <f>IF(ISNA(Tableau6[[#This Row],[Position 2022]]),Tableau6[[#This Row],[Position 2022]],Tableau6[[#This Row],[2022]]-H$2)</f>
        <v>#N/A</v>
      </c>
      <c r="J229" s="35" t="e">
        <f>MATCH(Tableau6[Jours Mois]&amp;"/"&amp;Tableau6[[#Headers],[2023]],tabSuiviConso[Jour Mois Année],0)</f>
        <v>#N/A</v>
      </c>
      <c r="K229" s="35" t="e">
        <f>Tableau6[[#This Row],[Cumul 2022]]-Tableau6[[#This Row],[Cumul 2021]]</f>
        <v>#N/A</v>
      </c>
      <c r="L229" s="37" t="e">
        <f>Tableau6[[#This Row],[Ecart 2021 2022]]/Tableau6[[#This Row],[Cumul 2021]]</f>
        <v>#N/A</v>
      </c>
      <c r="M229" s="35" t="str">
        <f>IF(ISNA(Tableau6[[#This Row],[Position 2023]]),"",INDEX(tabSuiviConso[HP + HC
cumul],Tableau6[[#This Row],[Position 2023]],1))</f>
        <v/>
      </c>
      <c r="N229" s="56" t="e">
        <f>IF(ISNA(Tableau6[[#This Row],[Position 2023]]),Tableau6[[#This Row],[Position 2023]],Tableau6[[#This Row],[2023]]-M$2)</f>
        <v>#N/A</v>
      </c>
      <c r="O229" s="35" t="e">
        <f>Tableau6[[#This Row],[Cumul 2023]]-Tableau6[[#This Row],[Cumul 2022]]</f>
        <v>#N/A</v>
      </c>
      <c r="P229" s="37" t="e">
        <f>Tableau6[[#This Row],[Ecart 2022 2023]]/Tableau6[[#This Row],[Cumul 2022]]</f>
        <v>#N/A</v>
      </c>
      <c r="Q229" s="35" t="e">
        <f>MATCH(Tableau6[Jours Mois]&amp;"/"&amp;Tableau6[[#Headers],[2024]],tabSuiviConso[Jour Mois Année],0)</f>
        <v>#N/A</v>
      </c>
      <c r="R229" s="35" t="str">
        <f>IF(ISNA(Tableau6[[#This Row],[Position 2024]]),"",INDEX(tabSuiviConso[HP + HC
cumul],Tableau6[[#This Row],[Position 2024]],1))</f>
        <v/>
      </c>
      <c r="S229" s="56" t="e">
        <f>IF(ISNA(Tableau6[[#This Row],[Position 2024]]),Tableau6[[#This Row],[Position 2024]],Tableau6[[#This Row],[2024]]-R$2)</f>
        <v>#N/A</v>
      </c>
      <c r="T229" s="35" t="e">
        <f>Tableau6[[#This Row],[Cumul 2024]]-Tableau6[[#This Row],[Cumul 2023]]</f>
        <v>#N/A</v>
      </c>
      <c r="U229" s="36" t="e">
        <f>Tableau6[[#This Row],[Ecart 2023 2024]]/Tableau6[[#This Row],[Cumul 2023]]</f>
        <v>#N/A</v>
      </c>
    </row>
    <row r="230" spans="1:21" x14ac:dyDescent="0.2">
      <c r="A230" s="35">
        <v>8</v>
      </c>
      <c r="B230" s="35">
        <v>15</v>
      </c>
      <c r="C230" s="35" t="str">
        <f>Tableau6[Jour]&amp;"/"&amp;Tableau6[Mois]</f>
        <v>15/8</v>
      </c>
      <c r="D230" s="35" t="e">
        <f>MATCH(Tableau6[Jours Mois]&amp;"/"&amp;Tableau6[[#Headers],[2021]],tabSuiviConso[Jour Mois Année],0)</f>
        <v>#N/A</v>
      </c>
      <c r="E230" s="35" t="str">
        <f>IF(ISNA(Tableau6[[#This Row],[Position 2021]]),"",INDEX(tabSuiviConso[HP + HC
cumul],Tableau6[[#This Row],[Position 2021]],1))</f>
        <v/>
      </c>
      <c r="F230" s="56" t="e">
        <f>IF(ISNA(Tableau6[[#This Row],[Position 2021]]),Tableau6[[#This Row],[Position 2021]],Tableau6[[#This Row],[2021]]-E$2)</f>
        <v>#N/A</v>
      </c>
      <c r="G230" s="35" t="e">
        <f>MATCH(Tableau6[Jours Mois]&amp;"/"&amp;Tableau6[[#Headers],[2022]],tabSuiviConso[Jour Mois Année],0)</f>
        <v>#N/A</v>
      </c>
      <c r="H230" s="35" t="str">
        <f>IF(ISNA(Tableau6[[#This Row],[Position 2022]]),"",INDEX(tabSuiviConso[HP + HC
cumul],Tableau6[[#This Row],[Position 2022]],1))</f>
        <v/>
      </c>
      <c r="I230" s="56" t="e">
        <f>IF(ISNA(Tableau6[[#This Row],[Position 2022]]),Tableau6[[#This Row],[Position 2022]],Tableau6[[#This Row],[2022]]-H$2)</f>
        <v>#N/A</v>
      </c>
      <c r="J230" s="35" t="e">
        <f>MATCH(Tableau6[Jours Mois]&amp;"/"&amp;Tableau6[[#Headers],[2023]],tabSuiviConso[Jour Mois Année],0)</f>
        <v>#N/A</v>
      </c>
      <c r="K230" s="35" t="e">
        <f>Tableau6[[#This Row],[Cumul 2022]]-Tableau6[[#This Row],[Cumul 2021]]</f>
        <v>#N/A</v>
      </c>
      <c r="L230" s="37" t="e">
        <f>Tableau6[[#This Row],[Ecart 2021 2022]]/Tableau6[[#This Row],[Cumul 2021]]</f>
        <v>#N/A</v>
      </c>
      <c r="M230" s="35" t="str">
        <f>IF(ISNA(Tableau6[[#This Row],[Position 2023]]),"",INDEX(tabSuiviConso[HP + HC
cumul],Tableau6[[#This Row],[Position 2023]],1))</f>
        <v/>
      </c>
      <c r="N230" s="56" t="e">
        <f>IF(ISNA(Tableau6[[#This Row],[Position 2023]]),Tableau6[[#This Row],[Position 2023]],Tableau6[[#This Row],[2023]]-M$2)</f>
        <v>#N/A</v>
      </c>
      <c r="O230" s="35" t="e">
        <f>Tableau6[[#This Row],[Cumul 2023]]-Tableau6[[#This Row],[Cumul 2022]]</f>
        <v>#N/A</v>
      </c>
      <c r="P230" s="37" t="e">
        <f>Tableau6[[#This Row],[Ecart 2022 2023]]/Tableau6[[#This Row],[Cumul 2022]]</f>
        <v>#N/A</v>
      </c>
      <c r="Q230" s="35" t="e">
        <f>MATCH(Tableau6[Jours Mois]&amp;"/"&amp;Tableau6[[#Headers],[2024]],tabSuiviConso[Jour Mois Année],0)</f>
        <v>#N/A</v>
      </c>
      <c r="R230" s="35" t="str">
        <f>IF(ISNA(Tableau6[[#This Row],[Position 2024]]),"",INDEX(tabSuiviConso[HP + HC
cumul],Tableau6[[#This Row],[Position 2024]],1))</f>
        <v/>
      </c>
      <c r="S230" s="56" t="e">
        <f>IF(ISNA(Tableau6[[#This Row],[Position 2024]]),Tableau6[[#This Row],[Position 2024]],Tableau6[[#This Row],[2024]]-R$2)</f>
        <v>#N/A</v>
      </c>
      <c r="T230" s="35" t="e">
        <f>Tableau6[[#This Row],[Cumul 2024]]-Tableau6[[#This Row],[Cumul 2023]]</f>
        <v>#N/A</v>
      </c>
      <c r="U230" s="36" t="e">
        <f>Tableau6[[#This Row],[Ecart 2023 2024]]/Tableau6[[#This Row],[Cumul 2023]]</f>
        <v>#N/A</v>
      </c>
    </row>
    <row r="231" spans="1:21" x14ac:dyDescent="0.2">
      <c r="A231" s="35">
        <v>8</v>
      </c>
      <c r="B231" s="35">
        <v>16</v>
      </c>
      <c r="C231" s="35" t="str">
        <f>Tableau6[Jour]&amp;"/"&amp;Tableau6[Mois]</f>
        <v>16/8</v>
      </c>
      <c r="D231" s="35" t="e">
        <f>MATCH(Tableau6[Jours Mois]&amp;"/"&amp;Tableau6[[#Headers],[2021]],tabSuiviConso[Jour Mois Année],0)</f>
        <v>#N/A</v>
      </c>
      <c r="E231" s="35" t="str">
        <f>IF(ISNA(Tableau6[[#This Row],[Position 2021]]),"",INDEX(tabSuiviConso[HP + HC
cumul],Tableau6[[#This Row],[Position 2021]],1))</f>
        <v/>
      </c>
      <c r="F231" s="56" t="e">
        <f>IF(ISNA(Tableau6[[#This Row],[Position 2021]]),Tableau6[[#This Row],[Position 2021]],Tableau6[[#This Row],[2021]]-E$2)</f>
        <v>#N/A</v>
      </c>
      <c r="G231" s="35" t="e">
        <f>MATCH(Tableau6[Jours Mois]&amp;"/"&amp;Tableau6[[#Headers],[2022]],tabSuiviConso[Jour Mois Année],0)</f>
        <v>#N/A</v>
      </c>
      <c r="H231" s="35" t="str">
        <f>IF(ISNA(Tableau6[[#This Row],[Position 2022]]),"",INDEX(tabSuiviConso[HP + HC
cumul],Tableau6[[#This Row],[Position 2022]],1))</f>
        <v/>
      </c>
      <c r="I231" s="56" t="e">
        <f>IF(ISNA(Tableau6[[#This Row],[Position 2022]]),Tableau6[[#This Row],[Position 2022]],Tableau6[[#This Row],[2022]]-H$2)</f>
        <v>#N/A</v>
      </c>
      <c r="J231" s="35" t="e">
        <f>MATCH(Tableau6[Jours Mois]&amp;"/"&amp;Tableau6[[#Headers],[2023]],tabSuiviConso[Jour Mois Année],0)</f>
        <v>#N/A</v>
      </c>
      <c r="K231" s="35" t="e">
        <f>Tableau6[[#This Row],[Cumul 2022]]-Tableau6[[#This Row],[Cumul 2021]]</f>
        <v>#N/A</v>
      </c>
      <c r="L231" s="37" t="e">
        <f>Tableau6[[#This Row],[Ecart 2021 2022]]/Tableau6[[#This Row],[Cumul 2021]]</f>
        <v>#N/A</v>
      </c>
      <c r="M231" s="35" t="str">
        <f>IF(ISNA(Tableau6[[#This Row],[Position 2023]]),"",INDEX(tabSuiviConso[HP + HC
cumul],Tableau6[[#This Row],[Position 2023]],1))</f>
        <v/>
      </c>
      <c r="N231" s="56" t="e">
        <f>IF(ISNA(Tableau6[[#This Row],[Position 2023]]),Tableau6[[#This Row],[Position 2023]],Tableau6[[#This Row],[2023]]-M$2)</f>
        <v>#N/A</v>
      </c>
      <c r="O231" s="35" t="e">
        <f>Tableau6[[#This Row],[Cumul 2023]]-Tableau6[[#This Row],[Cumul 2022]]</f>
        <v>#N/A</v>
      </c>
      <c r="P231" s="37" t="e">
        <f>Tableau6[[#This Row],[Ecart 2022 2023]]/Tableau6[[#This Row],[Cumul 2022]]</f>
        <v>#N/A</v>
      </c>
      <c r="Q231" s="35" t="e">
        <f>MATCH(Tableau6[Jours Mois]&amp;"/"&amp;Tableau6[[#Headers],[2024]],tabSuiviConso[Jour Mois Année],0)</f>
        <v>#N/A</v>
      </c>
      <c r="R231" s="35" t="str">
        <f>IF(ISNA(Tableau6[[#This Row],[Position 2024]]),"",INDEX(tabSuiviConso[HP + HC
cumul],Tableau6[[#This Row],[Position 2024]],1))</f>
        <v/>
      </c>
      <c r="S231" s="56" t="e">
        <f>IF(ISNA(Tableau6[[#This Row],[Position 2024]]),Tableau6[[#This Row],[Position 2024]],Tableau6[[#This Row],[2024]]-R$2)</f>
        <v>#N/A</v>
      </c>
      <c r="T231" s="35" t="e">
        <f>Tableau6[[#This Row],[Cumul 2024]]-Tableau6[[#This Row],[Cumul 2023]]</f>
        <v>#N/A</v>
      </c>
      <c r="U231" s="36" t="e">
        <f>Tableau6[[#This Row],[Ecart 2023 2024]]/Tableau6[[#This Row],[Cumul 2023]]</f>
        <v>#N/A</v>
      </c>
    </row>
    <row r="232" spans="1:21" x14ac:dyDescent="0.2">
      <c r="A232" s="35">
        <v>8</v>
      </c>
      <c r="B232" s="35">
        <v>17</v>
      </c>
      <c r="C232" s="35" t="str">
        <f>Tableau6[Jour]&amp;"/"&amp;Tableau6[Mois]</f>
        <v>17/8</v>
      </c>
      <c r="D232" s="35" t="e">
        <f>MATCH(Tableau6[Jours Mois]&amp;"/"&amp;Tableau6[[#Headers],[2021]],tabSuiviConso[Jour Mois Année],0)</f>
        <v>#N/A</v>
      </c>
      <c r="E232" s="35" t="str">
        <f>IF(ISNA(Tableau6[[#This Row],[Position 2021]]),"",INDEX(tabSuiviConso[HP + HC
cumul],Tableau6[[#This Row],[Position 2021]],1))</f>
        <v/>
      </c>
      <c r="F232" s="56" t="e">
        <f>IF(ISNA(Tableau6[[#This Row],[Position 2021]]),Tableau6[[#This Row],[Position 2021]],Tableau6[[#This Row],[2021]]-E$2)</f>
        <v>#N/A</v>
      </c>
      <c r="G232" s="35" t="e">
        <f>MATCH(Tableau6[Jours Mois]&amp;"/"&amp;Tableau6[[#Headers],[2022]],tabSuiviConso[Jour Mois Année],0)</f>
        <v>#N/A</v>
      </c>
      <c r="H232" s="35" t="str">
        <f>IF(ISNA(Tableau6[[#This Row],[Position 2022]]),"",INDEX(tabSuiviConso[HP + HC
cumul],Tableau6[[#This Row],[Position 2022]],1))</f>
        <v/>
      </c>
      <c r="I232" s="56" t="e">
        <f>IF(ISNA(Tableau6[[#This Row],[Position 2022]]),Tableau6[[#This Row],[Position 2022]],Tableau6[[#This Row],[2022]]-H$2)</f>
        <v>#N/A</v>
      </c>
      <c r="J232" s="35" t="e">
        <f>MATCH(Tableau6[Jours Mois]&amp;"/"&amp;Tableau6[[#Headers],[2023]],tabSuiviConso[Jour Mois Année],0)</f>
        <v>#N/A</v>
      </c>
      <c r="K232" s="35" t="e">
        <f>Tableau6[[#This Row],[Cumul 2022]]-Tableau6[[#This Row],[Cumul 2021]]</f>
        <v>#N/A</v>
      </c>
      <c r="L232" s="37" t="e">
        <f>Tableau6[[#This Row],[Ecart 2021 2022]]/Tableau6[[#This Row],[Cumul 2021]]</f>
        <v>#N/A</v>
      </c>
      <c r="M232" s="35" t="str">
        <f>IF(ISNA(Tableau6[[#This Row],[Position 2023]]),"",INDEX(tabSuiviConso[HP + HC
cumul],Tableau6[[#This Row],[Position 2023]],1))</f>
        <v/>
      </c>
      <c r="N232" s="56" t="e">
        <f>IF(ISNA(Tableau6[[#This Row],[Position 2023]]),Tableau6[[#This Row],[Position 2023]],Tableau6[[#This Row],[2023]]-M$2)</f>
        <v>#N/A</v>
      </c>
      <c r="O232" s="35" t="e">
        <f>Tableau6[[#This Row],[Cumul 2023]]-Tableau6[[#This Row],[Cumul 2022]]</f>
        <v>#N/A</v>
      </c>
      <c r="P232" s="37" t="e">
        <f>Tableau6[[#This Row],[Ecart 2022 2023]]/Tableau6[[#This Row],[Cumul 2022]]</f>
        <v>#N/A</v>
      </c>
      <c r="Q232" s="35" t="e">
        <f>MATCH(Tableau6[Jours Mois]&amp;"/"&amp;Tableau6[[#Headers],[2024]],tabSuiviConso[Jour Mois Année],0)</f>
        <v>#N/A</v>
      </c>
      <c r="R232" s="35" t="str">
        <f>IF(ISNA(Tableau6[[#This Row],[Position 2024]]),"",INDEX(tabSuiviConso[HP + HC
cumul],Tableau6[[#This Row],[Position 2024]],1))</f>
        <v/>
      </c>
      <c r="S232" s="56" t="e">
        <f>IF(ISNA(Tableau6[[#This Row],[Position 2024]]),Tableau6[[#This Row],[Position 2024]],Tableau6[[#This Row],[2024]]-R$2)</f>
        <v>#N/A</v>
      </c>
      <c r="T232" s="35" t="e">
        <f>Tableau6[[#This Row],[Cumul 2024]]-Tableau6[[#This Row],[Cumul 2023]]</f>
        <v>#N/A</v>
      </c>
      <c r="U232" s="36" t="e">
        <f>Tableau6[[#This Row],[Ecart 2023 2024]]/Tableau6[[#This Row],[Cumul 2023]]</f>
        <v>#N/A</v>
      </c>
    </row>
    <row r="233" spans="1:21" x14ac:dyDescent="0.2">
      <c r="A233" s="35">
        <v>8</v>
      </c>
      <c r="B233" s="35">
        <v>18</v>
      </c>
      <c r="C233" s="35" t="str">
        <f>Tableau6[Jour]&amp;"/"&amp;Tableau6[Mois]</f>
        <v>18/8</v>
      </c>
      <c r="D233" s="35" t="e">
        <f>MATCH(Tableau6[Jours Mois]&amp;"/"&amp;Tableau6[[#Headers],[2021]],tabSuiviConso[Jour Mois Année],0)</f>
        <v>#N/A</v>
      </c>
      <c r="E233" s="35" t="str">
        <f>IF(ISNA(Tableau6[[#This Row],[Position 2021]]),"",INDEX(tabSuiviConso[HP + HC
cumul],Tableau6[[#This Row],[Position 2021]],1))</f>
        <v/>
      </c>
      <c r="F233" s="56" t="e">
        <f>IF(ISNA(Tableau6[[#This Row],[Position 2021]]),Tableau6[[#This Row],[Position 2021]],Tableau6[[#This Row],[2021]]-E$2)</f>
        <v>#N/A</v>
      </c>
      <c r="G233" s="35" t="e">
        <f>MATCH(Tableau6[Jours Mois]&amp;"/"&amp;Tableau6[[#Headers],[2022]],tabSuiviConso[Jour Mois Année],0)</f>
        <v>#N/A</v>
      </c>
      <c r="H233" s="35" t="str">
        <f>IF(ISNA(Tableau6[[#This Row],[Position 2022]]),"",INDEX(tabSuiviConso[HP + HC
cumul],Tableau6[[#This Row],[Position 2022]],1))</f>
        <v/>
      </c>
      <c r="I233" s="56" t="e">
        <f>IF(ISNA(Tableau6[[#This Row],[Position 2022]]),Tableau6[[#This Row],[Position 2022]],Tableau6[[#This Row],[2022]]-H$2)</f>
        <v>#N/A</v>
      </c>
      <c r="J233" s="35" t="e">
        <f>MATCH(Tableau6[Jours Mois]&amp;"/"&amp;Tableau6[[#Headers],[2023]],tabSuiviConso[Jour Mois Année],0)</f>
        <v>#N/A</v>
      </c>
      <c r="K233" s="35" t="e">
        <f>Tableau6[[#This Row],[Cumul 2022]]-Tableau6[[#This Row],[Cumul 2021]]</f>
        <v>#N/A</v>
      </c>
      <c r="L233" s="37" t="e">
        <f>Tableau6[[#This Row],[Ecart 2021 2022]]/Tableau6[[#This Row],[Cumul 2021]]</f>
        <v>#N/A</v>
      </c>
      <c r="M233" s="35" t="str">
        <f>IF(ISNA(Tableau6[[#This Row],[Position 2023]]),"",INDEX(tabSuiviConso[HP + HC
cumul],Tableau6[[#This Row],[Position 2023]],1))</f>
        <v/>
      </c>
      <c r="N233" s="56" t="e">
        <f>IF(ISNA(Tableau6[[#This Row],[Position 2023]]),Tableau6[[#This Row],[Position 2023]],Tableau6[[#This Row],[2023]]-M$2)</f>
        <v>#N/A</v>
      </c>
      <c r="O233" s="35" t="e">
        <f>Tableau6[[#This Row],[Cumul 2023]]-Tableau6[[#This Row],[Cumul 2022]]</f>
        <v>#N/A</v>
      </c>
      <c r="P233" s="37" t="e">
        <f>Tableau6[[#This Row],[Ecart 2022 2023]]/Tableau6[[#This Row],[Cumul 2022]]</f>
        <v>#N/A</v>
      </c>
      <c r="Q233" s="35" t="e">
        <f>MATCH(Tableau6[Jours Mois]&amp;"/"&amp;Tableau6[[#Headers],[2024]],tabSuiviConso[Jour Mois Année],0)</f>
        <v>#N/A</v>
      </c>
      <c r="R233" s="35" t="str">
        <f>IF(ISNA(Tableau6[[#This Row],[Position 2024]]),"",INDEX(tabSuiviConso[HP + HC
cumul],Tableau6[[#This Row],[Position 2024]],1))</f>
        <v/>
      </c>
      <c r="S233" s="56" t="e">
        <f>IF(ISNA(Tableau6[[#This Row],[Position 2024]]),Tableau6[[#This Row],[Position 2024]],Tableau6[[#This Row],[2024]]-R$2)</f>
        <v>#N/A</v>
      </c>
      <c r="T233" s="35" t="e">
        <f>Tableau6[[#This Row],[Cumul 2024]]-Tableau6[[#This Row],[Cumul 2023]]</f>
        <v>#N/A</v>
      </c>
      <c r="U233" s="36" t="e">
        <f>Tableau6[[#This Row],[Ecart 2023 2024]]/Tableau6[[#This Row],[Cumul 2023]]</f>
        <v>#N/A</v>
      </c>
    </row>
    <row r="234" spans="1:21" x14ac:dyDescent="0.2">
      <c r="A234" s="35">
        <v>8</v>
      </c>
      <c r="B234" s="35">
        <v>19</v>
      </c>
      <c r="C234" s="35" t="str">
        <f>Tableau6[Jour]&amp;"/"&amp;Tableau6[Mois]</f>
        <v>19/8</v>
      </c>
      <c r="D234" s="35" t="e">
        <f>MATCH(Tableau6[Jours Mois]&amp;"/"&amp;Tableau6[[#Headers],[2021]],tabSuiviConso[Jour Mois Année],0)</f>
        <v>#N/A</v>
      </c>
      <c r="E234" s="35" t="str">
        <f>IF(ISNA(Tableau6[[#This Row],[Position 2021]]),"",INDEX(tabSuiviConso[HP + HC
cumul],Tableau6[[#This Row],[Position 2021]],1))</f>
        <v/>
      </c>
      <c r="F234" s="56" t="e">
        <f>IF(ISNA(Tableau6[[#This Row],[Position 2021]]),Tableau6[[#This Row],[Position 2021]],Tableau6[[#This Row],[2021]]-E$2)</f>
        <v>#N/A</v>
      </c>
      <c r="G234" s="35" t="e">
        <f>MATCH(Tableau6[Jours Mois]&amp;"/"&amp;Tableau6[[#Headers],[2022]],tabSuiviConso[Jour Mois Année],0)</f>
        <v>#N/A</v>
      </c>
      <c r="H234" s="35" t="str">
        <f>IF(ISNA(Tableau6[[#This Row],[Position 2022]]),"",INDEX(tabSuiviConso[HP + HC
cumul],Tableau6[[#This Row],[Position 2022]],1))</f>
        <v/>
      </c>
      <c r="I234" s="56" t="e">
        <f>IF(ISNA(Tableau6[[#This Row],[Position 2022]]),Tableau6[[#This Row],[Position 2022]],Tableau6[[#This Row],[2022]]-H$2)</f>
        <v>#N/A</v>
      </c>
      <c r="J234" s="35" t="e">
        <f>MATCH(Tableau6[Jours Mois]&amp;"/"&amp;Tableau6[[#Headers],[2023]],tabSuiviConso[Jour Mois Année],0)</f>
        <v>#N/A</v>
      </c>
      <c r="K234" s="35" t="e">
        <f>Tableau6[[#This Row],[Cumul 2022]]-Tableau6[[#This Row],[Cumul 2021]]</f>
        <v>#N/A</v>
      </c>
      <c r="L234" s="37" t="e">
        <f>Tableau6[[#This Row],[Ecart 2021 2022]]/Tableau6[[#This Row],[Cumul 2021]]</f>
        <v>#N/A</v>
      </c>
      <c r="M234" s="35" t="str">
        <f>IF(ISNA(Tableau6[[#This Row],[Position 2023]]),"",INDEX(tabSuiviConso[HP + HC
cumul],Tableau6[[#This Row],[Position 2023]],1))</f>
        <v/>
      </c>
      <c r="N234" s="56" t="e">
        <f>IF(ISNA(Tableau6[[#This Row],[Position 2023]]),Tableau6[[#This Row],[Position 2023]],Tableau6[[#This Row],[2023]]-M$2)</f>
        <v>#N/A</v>
      </c>
      <c r="O234" s="35" t="e">
        <f>Tableau6[[#This Row],[Cumul 2023]]-Tableau6[[#This Row],[Cumul 2022]]</f>
        <v>#N/A</v>
      </c>
      <c r="P234" s="37" t="e">
        <f>Tableau6[[#This Row],[Ecart 2022 2023]]/Tableau6[[#This Row],[Cumul 2022]]</f>
        <v>#N/A</v>
      </c>
      <c r="Q234" s="35" t="e">
        <f>MATCH(Tableau6[Jours Mois]&amp;"/"&amp;Tableau6[[#Headers],[2024]],tabSuiviConso[Jour Mois Année],0)</f>
        <v>#N/A</v>
      </c>
      <c r="R234" s="35" t="str">
        <f>IF(ISNA(Tableau6[[#This Row],[Position 2024]]),"",INDEX(tabSuiviConso[HP + HC
cumul],Tableau6[[#This Row],[Position 2024]],1))</f>
        <v/>
      </c>
      <c r="S234" s="56" t="e">
        <f>IF(ISNA(Tableau6[[#This Row],[Position 2024]]),Tableau6[[#This Row],[Position 2024]],Tableau6[[#This Row],[2024]]-R$2)</f>
        <v>#N/A</v>
      </c>
      <c r="T234" s="35" t="e">
        <f>Tableau6[[#This Row],[Cumul 2024]]-Tableau6[[#This Row],[Cumul 2023]]</f>
        <v>#N/A</v>
      </c>
      <c r="U234" s="36" t="e">
        <f>Tableau6[[#This Row],[Ecart 2023 2024]]/Tableau6[[#This Row],[Cumul 2023]]</f>
        <v>#N/A</v>
      </c>
    </row>
    <row r="235" spans="1:21" x14ac:dyDescent="0.2">
      <c r="A235" s="35">
        <v>8</v>
      </c>
      <c r="B235" s="35">
        <v>20</v>
      </c>
      <c r="C235" s="35" t="str">
        <f>Tableau6[Jour]&amp;"/"&amp;Tableau6[Mois]</f>
        <v>20/8</v>
      </c>
      <c r="D235" s="35" t="e">
        <f>MATCH(Tableau6[Jours Mois]&amp;"/"&amp;Tableau6[[#Headers],[2021]],tabSuiviConso[Jour Mois Année],0)</f>
        <v>#N/A</v>
      </c>
      <c r="E235" s="35" t="str">
        <f>IF(ISNA(Tableau6[[#This Row],[Position 2021]]),"",INDEX(tabSuiviConso[HP + HC
cumul],Tableau6[[#This Row],[Position 2021]],1))</f>
        <v/>
      </c>
      <c r="F235" s="56" t="e">
        <f>IF(ISNA(Tableau6[[#This Row],[Position 2021]]),Tableau6[[#This Row],[Position 2021]],Tableau6[[#This Row],[2021]]-E$2)</f>
        <v>#N/A</v>
      </c>
      <c r="G235" s="35" t="e">
        <f>MATCH(Tableau6[Jours Mois]&amp;"/"&amp;Tableau6[[#Headers],[2022]],tabSuiviConso[Jour Mois Année],0)</f>
        <v>#N/A</v>
      </c>
      <c r="H235" s="35" t="str">
        <f>IF(ISNA(Tableau6[[#This Row],[Position 2022]]),"",INDEX(tabSuiviConso[HP + HC
cumul],Tableau6[[#This Row],[Position 2022]],1))</f>
        <v/>
      </c>
      <c r="I235" s="56" t="e">
        <f>IF(ISNA(Tableau6[[#This Row],[Position 2022]]),Tableau6[[#This Row],[Position 2022]],Tableau6[[#This Row],[2022]]-H$2)</f>
        <v>#N/A</v>
      </c>
      <c r="J235" s="35" t="e">
        <f>MATCH(Tableau6[Jours Mois]&amp;"/"&amp;Tableau6[[#Headers],[2023]],tabSuiviConso[Jour Mois Année],0)</f>
        <v>#N/A</v>
      </c>
      <c r="K235" s="35" t="e">
        <f>Tableau6[[#This Row],[Cumul 2022]]-Tableau6[[#This Row],[Cumul 2021]]</f>
        <v>#N/A</v>
      </c>
      <c r="L235" s="37" t="e">
        <f>Tableau6[[#This Row],[Ecart 2021 2022]]/Tableau6[[#This Row],[Cumul 2021]]</f>
        <v>#N/A</v>
      </c>
      <c r="M235" s="35" t="str">
        <f>IF(ISNA(Tableau6[[#This Row],[Position 2023]]),"",INDEX(tabSuiviConso[HP + HC
cumul],Tableau6[[#This Row],[Position 2023]],1))</f>
        <v/>
      </c>
      <c r="N235" s="56" t="e">
        <f>IF(ISNA(Tableau6[[#This Row],[Position 2023]]),Tableau6[[#This Row],[Position 2023]],Tableau6[[#This Row],[2023]]-M$2)</f>
        <v>#N/A</v>
      </c>
      <c r="O235" s="35" t="e">
        <f>Tableau6[[#This Row],[Cumul 2023]]-Tableau6[[#This Row],[Cumul 2022]]</f>
        <v>#N/A</v>
      </c>
      <c r="P235" s="37" t="e">
        <f>Tableau6[[#This Row],[Ecart 2022 2023]]/Tableau6[[#This Row],[Cumul 2022]]</f>
        <v>#N/A</v>
      </c>
      <c r="Q235" s="35" t="e">
        <f>MATCH(Tableau6[Jours Mois]&amp;"/"&amp;Tableau6[[#Headers],[2024]],tabSuiviConso[Jour Mois Année],0)</f>
        <v>#N/A</v>
      </c>
      <c r="R235" s="35" t="str">
        <f>IF(ISNA(Tableau6[[#This Row],[Position 2024]]),"",INDEX(tabSuiviConso[HP + HC
cumul],Tableau6[[#This Row],[Position 2024]],1))</f>
        <v/>
      </c>
      <c r="S235" s="56" t="e">
        <f>IF(ISNA(Tableau6[[#This Row],[Position 2024]]),Tableau6[[#This Row],[Position 2024]],Tableau6[[#This Row],[2024]]-R$2)</f>
        <v>#N/A</v>
      </c>
      <c r="T235" s="35" t="e">
        <f>Tableau6[[#This Row],[Cumul 2024]]-Tableau6[[#This Row],[Cumul 2023]]</f>
        <v>#N/A</v>
      </c>
      <c r="U235" s="36" t="e">
        <f>Tableau6[[#This Row],[Ecart 2023 2024]]/Tableau6[[#This Row],[Cumul 2023]]</f>
        <v>#N/A</v>
      </c>
    </row>
    <row r="236" spans="1:21" x14ac:dyDescent="0.2">
      <c r="A236" s="35">
        <v>8</v>
      </c>
      <c r="B236" s="35">
        <v>21</v>
      </c>
      <c r="C236" s="35" t="str">
        <f>Tableau6[Jour]&amp;"/"&amp;Tableau6[Mois]</f>
        <v>21/8</v>
      </c>
      <c r="D236" s="35" t="e">
        <f>MATCH(Tableau6[Jours Mois]&amp;"/"&amp;Tableau6[[#Headers],[2021]],tabSuiviConso[Jour Mois Année],0)</f>
        <v>#N/A</v>
      </c>
      <c r="E236" s="35" t="str">
        <f>IF(ISNA(Tableau6[[#This Row],[Position 2021]]),"",INDEX(tabSuiviConso[HP + HC
cumul],Tableau6[[#This Row],[Position 2021]],1))</f>
        <v/>
      </c>
      <c r="F236" s="56" t="e">
        <f>IF(ISNA(Tableau6[[#This Row],[Position 2021]]),Tableau6[[#This Row],[Position 2021]],Tableau6[[#This Row],[2021]]-E$2)</f>
        <v>#N/A</v>
      </c>
      <c r="G236" s="35" t="e">
        <f>MATCH(Tableau6[Jours Mois]&amp;"/"&amp;Tableau6[[#Headers],[2022]],tabSuiviConso[Jour Mois Année],0)</f>
        <v>#N/A</v>
      </c>
      <c r="H236" s="35" t="str">
        <f>IF(ISNA(Tableau6[[#This Row],[Position 2022]]),"",INDEX(tabSuiviConso[HP + HC
cumul],Tableau6[[#This Row],[Position 2022]],1))</f>
        <v/>
      </c>
      <c r="I236" s="56" t="e">
        <f>IF(ISNA(Tableau6[[#This Row],[Position 2022]]),Tableau6[[#This Row],[Position 2022]],Tableau6[[#This Row],[2022]]-H$2)</f>
        <v>#N/A</v>
      </c>
      <c r="J236" s="35" t="e">
        <f>MATCH(Tableau6[Jours Mois]&amp;"/"&amp;Tableau6[[#Headers],[2023]],tabSuiviConso[Jour Mois Année],0)</f>
        <v>#N/A</v>
      </c>
      <c r="K236" s="35" t="e">
        <f>Tableau6[[#This Row],[Cumul 2022]]-Tableau6[[#This Row],[Cumul 2021]]</f>
        <v>#N/A</v>
      </c>
      <c r="L236" s="37" t="e">
        <f>Tableau6[[#This Row],[Ecart 2021 2022]]/Tableau6[[#This Row],[Cumul 2021]]</f>
        <v>#N/A</v>
      </c>
      <c r="M236" s="35" t="str">
        <f>IF(ISNA(Tableau6[[#This Row],[Position 2023]]),"",INDEX(tabSuiviConso[HP + HC
cumul],Tableau6[[#This Row],[Position 2023]],1))</f>
        <v/>
      </c>
      <c r="N236" s="56" t="e">
        <f>IF(ISNA(Tableau6[[#This Row],[Position 2023]]),Tableau6[[#This Row],[Position 2023]],Tableau6[[#This Row],[2023]]-M$2)</f>
        <v>#N/A</v>
      </c>
      <c r="O236" s="35" t="e">
        <f>Tableau6[[#This Row],[Cumul 2023]]-Tableau6[[#This Row],[Cumul 2022]]</f>
        <v>#N/A</v>
      </c>
      <c r="P236" s="37" t="e">
        <f>Tableau6[[#This Row],[Ecart 2022 2023]]/Tableau6[[#This Row],[Cumul 2022]]</f>
        <v>#N/A</v>
      </c>
      <c r="Q236" s="35" t="e">
        <f>MATCH(Tableau6[Jours Mois]&amp;"/"&amp;Tableau6[[#Headers],[2024]],tabSuiviConso[Jour Mois Année],0)</f>
        <v>#N/A</v>
      </c>
      <c r="R236" s="35" t="str">
        <f>IF(ISNA(Tableau6[[#This Row],[Position 2024]]),"",INDEX(tabSuiviConso[HP + HC
cumul],Tableau6[[#This Row],[Position 2024]],1))</f>
        <v/>
      </c>
      <c r="S236" s="56" t="e">
        <f>IF(ISNA(Tableau6[[#This Row],[Position 2024]]),Tableau6[[#This Row],[Position 2024]],Tableau6[[#This Row],[2024]]-R$2)</f>
        <v>#N/A</v>
      </c>
      <c r="T236" s="35" t="e">
        <f>Tableau6[[#This Row],[Cumul 2024]]-Tableau6[[#This Row],[Cumul 2023]]</f>
        <v>#N/A</v>
      </c>
      <c r="U236" s="36" t="e">
        <f>Tableau6[[#This Row],[Ecart 2023 2024]]/Tableau6[[#This Row],[Cumul 2023]]</f>
        <v>#N/A</v>
      </c>
    </row>
    <row r="237" spans="1:21" x14ac:dyDescent="0.2">
      <c r="A237" s="35">
        <v>8</v>
      </c>
      <c r="B237" s="35">
        <v>22</v>
      </c>
      <c r="C237" s="35" t="str">
        <f>Tableau6[Jour]&amp;"/"&amp;Tableau6[Mois]</f>
        <v>22/8</v>
      </c>
      <c r="D237" s="35" t="e">
        <f>MATCH(Tableau6[Jours Mois]&amp;"/"&amp;Tableau6[[#Headers],[2021]],tabSuiviConso[Jour Mois Année],0)</f>
        <v>#N/A</v>
      </c>
      <c r="E237" s="35" t="str">
        <f>IF(ISNA(Tableau6[[#This Row],[Position 2021]]),"",INDEX(tabSuiviConso[HP + HC
cumul],Tableau6[[#This Row],[Position 2021]],1))</f>
        <v/>
      </c>
      <c r="F237" s="56" t="e">
        <f>IF(ISNA(Tableau6[[#This Row],[Position 2021]]),Tableau6[[#This Row],[Position 2021]],Tableau6[[#This Row],[2021]]-E$2)</f>
        <v>#N/A</v>
      </c>
      <c r="G237" s="35" t="e">
        <f>MATCH(Tableau6[Jours Mois]&amp;"/"&amp;Tableau6[[#Headers],[2022]],tabSuiviConso[Jour Mois Année],0)</f>
        <v>#N/A</v>
      </c>
      <c r="H237" s="35" t="str">
        <f>IF(ISNA(Tableau6[[#This Row],[Position 2022]]),"",INDEX(tabSuiviConso[HP + HC
cumul],Tableau6[[#This Row],[Position 2022]],1))</f>
        <v/>
      </c>
      <c r="I237" s="56" t="e">
        <f>IF(ISNA(Tableau6[[#This Row],[Position 2022]]),Tableau6[[#This Row],[Position 2022]],Tableau6[[#This Row],[2022]]-H$2)</f>
        <v>#N/A</v>
      </c>
      <c r="J237" s="35" t="e">
        <f>MATCH(Tableau6[Jours Mois]&amp;"/"&amp;Tableau6[[#Headers],[2023]],tabSuiviConso[Jour Mois Année],0)</f>
        <v>#N/A</v>
      </c>
      <c r="K237" s="35" t="e">
        <f>Tableau6[[#This Row],[Cumul 2022]]-Tableau6[[#This Row],[Cumul 2021]]</f>
        <v>#N/A</v>
      </c>
      <c r="L237" s="37" t="e">
        <f>Tableau6[[#This Row],[Ecart 2021 2022]]/Tableau6[[#This Row],[Cumul 2021]]</f>
        <v>#N/A</v>
      </c>
      <c r="M237" s="35" t="str">
        <f>IF(ISNA(Tableau6[[#This Row],[Position 2023]]),"",INDEX(tabSuiviConso[HP + HC
cumul],Tableau6[[#This Row],[Position 2023]],1))</f>
        <v/>
      </c>
      <c r="N237" s="56" t="e">
        <f>IF(ISNA(Tableau6[[#This Row],[Position 2023]]),Tableau6[[#This Row],[Position 2023]],Tableau6[[#This Row],[2023]]-M$2)</f>
        <v>#N/A</v>
      </c>
      <c r="O237" s="35" t="e">
        <f>Tableau6[[#This Row],[Cumul 2023]]-Tableau6[[#This Row],[Cumul 2022]]</f>
        <v>#N/A</v>
      </c>
      <c r="P237" s="37" t="e">
        <f>Tableau6[[#This Row],[Ecart 2022 2023]]/Tableau6[[#This Row],[Cumul 2022]]</f>
        <v>#N/A</v>
      </c>
      <c r="Q237" s="35" t="e">
        <f>MATCH(Tableau6[Jours Mois]&amp;"/"&amp;Tableau6[[#Headers],[2024]],tabSuiviConso[Jour Mois Année],0)</f>
        <v>#N/A</v>
      </c>
      <c r="R237" s="35" t="str">
        <f>IF(ISNA(Tableau6[[#This Row],[Position 2024]]),"",INDEX(tabSuiviConso[HP + HC
cumul],Tableau6[[#This Row],[Position 2024]],1))</f>
        <v/>
      </c>
      <c r="S237" s="56" t="e">
        <f>IF(ISNA(Tableau6[[#This Row],[Position 2024]]),Tableau6[[#This Row],[Position 2024]],Tableau6[[#This Row],[2024]]-R$2)</f>
        <v>#N/A</v>
      </c>
      <c r="T237" s="35" t="e">
        <f>Tableau6[[#This Row],[Cumul 2024]]-Tableau6[[#This Row],[Cumul 2023]]</f>
        <v>#N/A</v>
      </c>
      <c r="U237" s="36" t="e">
        <f>Tableau6[[#This Row],[Ecart 2023 2024]]/Tableau6[[#This Row],[Cumul 2023]]</f>
        <v>#N/A</v>
      </c>
    </row>
    <row r="238" spans="1:21" x14ac:dyDescent="0.2">
      <c r="A238" s="35">
        <v>8</v>
      </c>
      <c r="B238" s="35">
        <v>23</v>
      </c>
      <c r="C238" s="35" t="str">
        <f>Tableau6[Jour]&amp;"/"&amp;Tableau6[Mois]</f>
        <v>23/8</v>
      </c>
      <c r="D238" s="35" t="e">
        <f>MATCH(Tableau6[Jours Mois]&amp;"/"&amp;Tableau6[[#Headers],[2021]],tabSuiviConso[Jour Mois Année],0)</f>
        <v>#N/A</v>
      </c>
      <c r="E238" s="35" t="str">
        <f>IF(ISNA(Tableau6[[#This Row],[Position 2021]]),"",INDEX(tabSuiviConso[HP + HC
cumul],Tableau6[[#This Row],[Position 2021]],1))</f>
        <v/>
      </c>
      <c r="F238" s="56" t="e">
        <f>IF(ISNA(Tableau6[[#This Row],[Position 2021]]),Tableau6[[#This Row],[Position 2021]],Tableau6[[#This Row],[2021]]-E$2)</f>
        <v>#N/A</v>
      </c>
      <c r="G238" s="35" t="e">
        <f>MATCH(Tableau6[Jours Mois]&amp;"/"&amp;Tableau6[[#Headers],[2022]],tabSuiviConso[Jour Mois Année],0)</f>
        <v>#N/A</v>
      </c>
      <c r="H238" s="35" t="str">
        <f>IF(ISNA(Tableau6[[#This Row],[Position 2022]]),"",INDEX(tabSuiviConso[HP + HC
cumul],Tableau6[[#This Row],[Position 2022]],1))</f>
        <v/>
      </c>
      <c r="I238" s="56" t="e">
        <f>IF(ISNA(Tableau6[[#This Row],[Position 2022]]),Tableau6[[#This Row],[Position 2022]],Tableau6[[#This Row],[2022]]-H$2)</f>
        <v>#N/A</v>
      </c>
      <c r="J238" s="35" t="e">
        <f>MATCH(Tableau6[Jours Mois]&amp;"/"&amp;Tableau6[[#Headers],[2023]],tabSuiviConso[Jour Mois Année],0)</f>
        <v>#N/A</v>
      </c>
      <c r="K238" s="35" t="e">
        <f>Tableau6[[#This Row],[Cumul 2022]]-Tableau6[[#This Row],[Cumul 2021]]</f>
        <v>#N/A</v>
      </c>
      <c r="L238" s="37" t="e">
        <f>Tableau6[[#This Row],[Ecart 2021 2022]]/Tableau6[[#This Row],[Cumul 2021]]</f>
        <v>#N/A</v>
      </c>
      <c r="M238" s="35" t="str">
        <f>IF(ISNA(Tableau6[[#This Row],[Position 2023]]),"",INDEX(tabSuiviConso[HP + HC
cumul],Tableau6[[#This Row],[Position 2023]],1))</f>
        <v/>
      </c>
      <c r="N238" s="56" t="e">
        <f>IF(ISNA(Tableau6[[#This Row],[Position 2023]]),Tableau6[[#This Row],[Position 2023]],Tableau6[[#This Row],[2023]]-M$2)</f>
        <v>#N/A</v>
      </c>
      <c r="O238" s="35" t="e">
        <f>Tableau6[[#This Row],[Cumul 2023]]-Tableau6[[#This Row],[Cumul 2022]]</f>
        <v>#N/A</v>
      </c>
      <c r="P238" s="37" t="e">
        <f>Tableau6[[#This Row],[Ecart 2022 2023]]/Tableau6[[#This Row],[Cumul 2022]]</f>
        <v>#N/A</v>
      </c>
      <c r="Q238" s="35" t="e">
        <f>MATCH(Tableau6[Jours Mois]&amp;"/"&amp;Tableau6[[#Headers],[2024]],tabSuiviConso[Jour Mois Année],0)</f>
        <v>#N/A</v>
      </c>
      <c r="R238" s="35" t="str">
        <f>IF(ISNA(Tableau6[[#This Row],[Position 2024]]),"",INDEX(tabSuiviConso[HP + HC
cumul],Tableau6[[#This Row],[Position 2024]],1))</f>
        <v/>
      </c>
      <c r="S238" s="56" t="e">
        <f>IF(ISNA(Tableau6[[#This Row],[Position 2024]]),Tableau6[[#This Row],[Position 2024]],Tableau6[[#This Row],[2024]]-R$2)</f>
        <v>#N/A</v>
      </c>
      <c r="T238" s="35" t="e">
        <f>Tableau6[[#This Row],[Cumul 2024]]-Tableau6[[#This Row],[Cumul 2023]]</f>
        <v>#N/A</v>
      </c>
      <c r="U238" s="36" t="e">
        <f>Tableau6[[#This Row],[Ecart 2023 2024]]/Tableau6[[#This Row],[Cumul 2023]]</f>
        <v>#N/A</v>
      </c>
    </row>
    <row r="239" spans="1:21" x14ac:dyDescent="0.2">
      <c r="A239" s="35">
        <v>8</v>
      </c>
      <c r="B239" s="35">
        <v>24</v>
      </c>
      <c r="C239" s="35" t="str">
        <f>Tableau6[Jour]&amp;"/"&amp;Tableau6[Mois]</f>
        <v>24/8</v>
      </c>
      <c r="D239" s="35" t="e">
        <f>MATCH(Tableau6[Jours Mois]&amp;"/"&amp;Tableau6[[#Headers],[2021]],tabSuiviConso[Jour Mois Année],0)</f>
        <v>#N/A</v>
      </c>
      <c r="E239" s="35" t="str">
        <f>IF(ISNA(Tableau6[[#This Row],[Position 2021]]),"",INDEX(tabSuiviConso[HP + HC
cumul],Tableau6[[#This Row],[Position 2021]],1))</f>
        <v/>
      </c>
      <c r="F239" s="56" t="e">
        <f>IF(ISNA(Tableau6[[#This Row],[Position 2021]]),Tableau6[[#This Row],[Position 2021]],Tableau6[[#This Row],[2021]]-E$2)</f>
        <v>#N/A</v>
      </c>
      <c r="G239" s="35" t="e">
        <f>MATCH(Tableau6[Jours Mois]&amp;"/"&amp;Tableau6[[#Headers],[2022]],tabSuiviConso[Jour Mois Année],0)</f>
        <v>#N/A</v>
      </c>
      <c r="H239" s="35" t="str">
        <f>IF(ISNA(Tableau6[[#This Row],[Position 2022]]),"",INDEX(tabSuiviConso[HP + HC
cumul],Tableau6[[#This Row],[Position 2022]],1))</f>
        <v/>
      </c>
      <c r="I239" s="56" t="e">
        <f>IF(ISNA(Tableau6[[#This Row],[Position 2022]]),Tableau6[[#This Row],[Position 2022]],Tableau6[[#This Row],[2022]]-H$2)</f>
        <v>#N/A</v>
      </c>
      <c r="J239" s="35" t="e">
        <f>MATCH(Tableau6[Jours Mois]&amp;"/"&amp;Tableau6[[#Headers],[2023]],tabSuiviConso[Jour Mois Année],0)</f>
        <v>#N/A</v>
      </c>
      <c r="K239" s="35" t="e">
        <f>Tableau6[[#This Row],[Cumul 2022]]-Tableau6[[#This Row],[Cumul 2021]]</f>
        <v>#N/A</v>
      </c>
      <c r="L239" s="37" t="e">
        <f>Tableau6[[#This Row],[Ecart 2021 2022]]/Tableau6[[#This Row],[Cumul 2021]]</f>
        <v>#N/A</v>
      </c>
      <c r="M239" s="35" t="str">
        <f>IF(ISNA(Tableau6[[#This Row],[Position 2023]]),"",INDEX(tabSuiviConso[HP + HC
cumul],Tableau6[[#This Row],[Position 2023]],1))</f>
        <v/>
      </c>
      <c r="N239" s="56" t="e">
        <f>IF(ISNA(Tableau6[[#This Row],[Position 2023]]),Tableau6[[#This Row],[Position 2023]],Tableau6[[#This Row],[2023]]-M$2)</f>
        <v>#N/A</v>
      </c>
      <c r="O239" s="35" t="e">
        <f>Tableau6[[#This Row],[Cumul 2023]]-Tableau6[[#This Row],[Cumul 2022]]</f>
        <v>#N/A</v>
      </c>
      <c r="P239" s="37" t="e">
        <f>Tableau6[[#This Row],[Ecart 2022 2023]]/Tableau6[[#This Row],[Cumul 2022]]</f>
        <v>#N/A</v>
      </c>
      <c r="Q239" s="35" t="e">
        <f>MATCH(Tableau6[Jours Mois]&amp;"/"&amp;Tableau6[[#Headers],[2024]],tabSuiviConso[Jour Mois Année],0)</f>
        <v>#N/A</v>
      </c>
      <c r="R239" s="35" t="str">
        <f>IF(ISNA(Tableau6[[#This Row],[Position 2024]]),"",INDEX(tabSuiviConso[HP + HC
cumul],Tableau6[[#This Row],[Position 2024]],1))</f>
        <v/>
      </c>
      <c r="S239" s="56" t="e">
        <f>IF(ISNA(Tableau6[[#This Row],[Position 2024]]),Tableau6[[#This Row],[Position 2024]],Tableau6[[#This Row],[2024]]-R$2)</f>
        <v>#N/A</v>
      </c>
      <c r="T239" s="35" t="e">
        <f>Tableau6[[#This Row],[Cumul 2024]]-Tableau6[[#This Row],[Cumul 2023]]</f>
        <v>#N/A</v>
      </c>
      <c r="U239" s="36" t="e">
        <f>Tableau6[[#This Row],[Ecart 2023 2024]]/Tableau6[[#This Row],[Cumul 2023]]</f>
        <v>#N/A</v>
      </c>
    </row>
    <row r="240" spans="1:21" x14ac:dyDescent="0.2">
      <c r="A240" s="35">
        <v>8</v>
      </c>
      <c r="B240" s="35">
        <v>25</v>
      </c>
      <c r="C240" s="35" t="str">
        <f>Tableau6[Jour]&amp;"/"&amp;Tableau6[Mois]</f>
        <v>25/8</v>
      </c>
      <c r="D240" s="35" t="e">
        <f>MATCH(Tableau6[Jours Mois]&amp;"/"&amp;Tableau6[[#Headers],[2021]],tabSuiviConso[Jour Mois Année],0)</f>
        <v>#N/A</v>
      </c>
      <c r="E240" s="35" t="str">
        <f>IF(ISNA(Tableau6[[#This Row],[Position 2021]]),"",INDEX(tabSuiviConso[HP + HC
cumul],Tableau6[[#This Row],[Position 2021]],1))</f>
        <v/>
      </c>
      <c r="F240" s="56" t="e">
        <f>IF(ISNA(Tableau6[[#This Row],[Position 2021]]),Tableau6[[#This Row],[Position 2021]],Tableau6[[#This Row],[2021]]-E$2)</f>
        <v>#N/A</v>
      </c>
      <c r="G240" s="35" t="e">
        <f>MATCH(Tableau6[Jours Mois]&amp;"/"&amp;Tableau6[[#Headers],[2022]],tabSuiviConso[Jour Mois Année],0)</f>
        <v>#N/A</v>
      </c>
      <c r="H240" s="35" t="str">
        <f>IF(ISNA(Tableau6[[#This Row],[Position 2022]]),"",INDEX(tabSuiviConso[HP + HC
cumul],Tableau6[[#This Row],[Position 2022]],1))</f>
        <v/>
      </c>
      <c r="I240" s="56" t="e">
        <f>IF(ISNA(Tableau6[[#This Row],[Position 2022]]),Tableau6[[#This Row],[Position 2022]],Tableau6[[#This Row],[2022]]-H$2)</f>
        <v>#N/A</v>
      </c>
      <c r="J240" s="35" t="e">
        <f>MATCH(Tableau6[Jours Mois]&amp;"/"&amp;Tableau6[[#Headers],[2023]],tabSuiviConso[Jour Mois Année],0)</f>
        <v>#N/A</v>
      </c>
      <c r="K240" s="35" t="e">
        <f>Tableau6[[#This Row],[Cumul 2022]]-Tableau6[[#This Row],[Cumul 2021]]</f>
        <v>#N/A</v>
      </c>
      <c r="L240" s="37" t="e">
        <f>Tableau6[[#This Row],[Ecart 2021 2022]]/Tableau6[[#This Row],[Cumul 2021]]</f>
        <v>#N/A</v>
      </c>
      <c r="M240" s="35" t="str">
        <f>IF(ISNA(Tableau6[[#This Row],[Position 2023]]),"",INDEX(tabSuiviConso[HP + HC
cumul],Tableau6[[#This Row],[Position 2023]],1))</f>
        <v/>
      </c>
      <c r="N240" s="56" t="e">
        <f>IF(ISNA(Tableau6[[#This Row],[Position 2023]]),Tableau6[[#This Row],[Position 2023]],Tableau6[[#This Row],[2023]]-M$2)</f>
        <v>#N/A</v>
      </c>
      <c r="O240" s="35" t="e">
        <f>Tableau6[[#This Row],[Cumul 2023]]-Tableau6[[#This Row],[Cumul 2022]]</f>
        <v>#N/A</v>
      </c>
      <c r="P240" s="37" t="e">
        <f>Tableau6[[#This Row],[Ecart 2022 2023]]/Tableau6[[#This Row],[Cumul 2022]]</f>
        <v>#N/A</v>
      </c>
      <c r="Q240" s="35" t="e">
        <f>MATCH(Tableau6[Jours Mois]&amp;"/"&amp;Tableau6[[#Headers],[2024]],tabSuiviConso[Jour Mois Année],0)</f>
        <v>#N/A</v>
      </c>
      <c r="R240" s="35" t="str">
        <f>IF(ISNA(Tableau6[[#This Row],[Position 2024]]),"",INDEX(tabSuiviConso[HP + HC
cumul],Tableau6[[#This Row],[Position 2024]],1))</f>
        <v/>
      </c>
      <c r="S240" s="56" t="e">
        <f>IF(ISNA(Tableau6[[#This Row],[Position 2024]]),Tableau6[[#This Row],[Position 2024]],Tableau6[[#This Row],[2024]]-R$2)</f>
        <v>#N/A</v>
      </c>
      <c r="T240" s="35" t="e">
        <f>Tableau6[[#This Row],[Cumul 2024]]-Tableau6[[#This Row],[Cumul 2023]]</f>
        <v>#N/A</v>
      </c>
      <c r="U240" s="36" t="e">
        <f>Tableau6[[#This Row],[Ecart 2023 2024]]/Tableau6[[#This Row],[Cumul 2023]]</f>
        <v>#N/A</v>
      </c>
    </row>
    <row r="241" spans="1:21" x14ac:dyDescent="0.2">
      <c r="A241" s="35">
        <v>8</v>
      </c>
      <c r="B241" s="35">
        <v>26</v>
      </c>
      <c r="C241" s="35" t="str">
        <f>Tableau6[Jour]&amp;"/"&amp;Tableau6[Mois]</f>
        <v>26/8</v>
      </c>
      <c r="D241" s="35" t="e">
        <f>MATCH(Tableau6[Jours Mois]&amp;"/"&amp;Tableau6[[#Headers],[2021]],tabSuiviConso[Jour Mois Année],0)</f>
        <v>#N/A</v>
      </c>
      <c r="E241" s="35" t="str">
        <f>IF(ISNA(Tableau6[[#This Row],[Position 2021]]),"",INDEX(tabSuiviConso[HP + HC
cumul],Tableau6[[#This Row],[Position 2021]],1))</f>
        <v/>
      </c>
      <c r="F241" s="56" t="e">
        <f>IF(ISNA(Tableau6[[#This Row],[Position 2021]]),Tableau6[[#This Row],[Position 2021]],Tableau6[[#This Row],[2021]]-E$2)</f>
        <v>#N/A</v>
      </c>
      <c r="G241" s="35" t="e">
        <f>MATCH(Tableau6[Jours Mois]&amp;"/"&amp;Tableau6[[#Headers],[2022]],tabSuiviConso[Jour Mois Année],0)</f>
        <v>#N/A</v>
      </c>
      <c r="H241" s="35" t="str">
        <f>IF(ISNA(Tableau6[[#This Row],[Position 2022]]),"",INDEX(tabSuiviConso[HP + HC
cumul],Tableau6[[#This Row],[Position 2022]],1))</f>
        <v/>
      </c>
      <c r="I241" s="56" t="e">
        <f>IF(ISNA(Tableau6[[#This Row],[Position 2022]]),Tableau6[[#This Row],[Position 2022]],Tableau6[[#This Row],[2022]]-H$2)</f>
        <v>#N/A</v>
      </c>
      <c r="J241" s="35" t="e">
        <f>MATCH(Tableau6[Jours Mois]&amp;"/"&amp;Tableau6[[#Headers],[2023]],tabSuiviConso[Jour Mois Année],0)</f>
        <v>#N/A</v>
      </c>
      <c r="K241" s="35" t="e">
        <f>Tableau6[[#This Row],[Cumul 2022]]-Tableau6[[#This Row],[Cumul 2021]]</f>
        <v>#N/A</v>
      </c>
      <c r="L241" s="37" t="e">
        <f>Tableau6[[#This Row],[Ecart 2021 2022]]/Tableau6[[#This Row],[Cumul 2021]]</f>
        <v>#N/A</v>
      </c>
      <c r="M241" s="35" t="str">
        <f>IF(ISNA(Tableau6[[#This Row],[Position 2023]]),"",INDEX(tabSuiviConso[HP + HC
cumul],Tableau6[[#This Row],[Position 2023]],1))</f>
        <v/>
      </c>
      <c r="N241" s="56" t="e">
        <f>IF(ISNA(Tableau6[[#This Row],[Position 2023]]),Tableau6[[#This Row],[Position 2023]],Tableau6[[#This Row],[2023]]-M$2)</f>
        <v>#N/A</v>
      </c>
      <c r="O241" s="35" t="e">
        <f>Tableau6[[#This Row],[Cumul 2023]]-Tableau6[[#This Row],[Cumul 2022]]</f>
        <v>#N/A</v>
      </c>
      <c r="P241" s="37" t="e">
        <f>Tableau6[[#This Row],[Ecart 2022 2023]]/Tableau6[[#This Row],[Cumul 2022]]</f>
        <v>#N/A</v>
      </c>
      <c r="Q241" s="35" t="e">
        <f>MATCH(Tableau6[Jours Mois]&amp;"/"&amp;Tableau6[[#Headers],[2024]],tabSuiviConso[Jour Mois Année],0)</f>
        <v>#N/A</v>
      </c>
      <c r="R241" s="35" t="str">
        <f>IF(ISNA(Tableau6[[#This Row],[Position 2024]]),"",INDEX(tabSuiviConso[HP + HC
cumul],Tableau6[[#This Row],[Position 2024]],1))</f>
        <v/>
      </c>
      <c r="S241" s="56" t="e">
        <f>IF(ISNA(Tableau6[[#This Row],[Position 2024]]),Tableau6[[#This Row],[Position 2024]],Tableau6[[#This Row],[2024]]-R$2)</f>
        <v>#N/A</v>
      </c>
      <c r="T241" s="35" t="e">
        <f>Tableau6[[#This Row],[Cumul 2024]]-Tableau6[[#This Row],[Cumul 2023]]</f>
        <v>#N/A</v>
      </c>
      <c r="U241" s="36" t="e">
        <f>Tableau6[[#This Row],[Ecart 2023 2024]]/Tableau6[[#This Row],[Cumul 2023]]</f>
        <v>#N/A</v>
      </c>
    </row>
    <row r="242" spans="1:21" x14ac:dyDescent="0.2">
      <c r="A242" s="35">
        <v>8</v>
      </c>
      <c r="B242" s="35">
        <v>27</v>
      </c>
      <c r="C242" s="35" t="str">
        <f>Tableau6[Jour]&amp;"/"&amp;Tableau6[Mois]</f>
        <v>27/8</v>
      </c>
      <c r="D242" s="35" t="e">
        <f>MATCH(Tableau6[Jours Mois]&amp;"/"&amp;Tableau6[[#Headers],[2021]],tabSuiviConso[Jour Mois Année],0)</f>
        <v>#N/A</v>
      </c>
      <c r="E242" s="35" t="str">
        <f>IF(ISNA(Tableau6[[#This Row],[Position 2021]]),"",INDEX(tabSuiviConso[HP + HC
cumul],Tableau6[[#This Row],[Position 2021]],1))</f>
        <v/>
      </c>
      <c r="F242" s="56" t="e">
        <f>IF(ISNA(Tableau6[[#This Row],[Position 2021]]),Tableau6[[#This Row],[Position 2021]],Tableau6[[#This Row],[2021]]-E$2)</f>
        <v>#N/A</v>
      </c>
      <c r="G242" s="35" t="e">
        <f>MATCH(Tableau6[Jours Mois]&amp;"/"&amp;Tableau6[[#Headers],[2022]],tabSuiviConso[Jour Mois Année],0)</f>
        <v>#N/A</v>
      </c>
      <c r="H242" s="35" t="str">
        <f>IF(ISNA(Tableau6[[#This Row],[Position 2022]]),"",INDEX(tabSuiviConso[HP + HC
cumul],Tableau6[[#This Row],[Position 2022]],1))</f>
        <v/>
      </c>
      <c r="I242" s="56" t="e">
        <f>IF(ISNA(Tableau6[[#This Row],[Position 2022]]),Tableau6[[#This Row],[Position 2022]],Tableau6[[#This Row],[2022]]-H$2)</f>
        <v>#N/A</v>
      </c>
      <c r="J242" s="35" t="e">
        <f>MATCH(Tableau6[Jours Mois]&amp;"/"&amp;Tableau6[[#Headers],[2023]],tabSuiviConso[Jour Mois Année],0)</f>
        <v>#N/A</v>
      </c>
      <c r="K242" s="35" t="e">
        <f>Tableau6[[#This Row],[Cumul 2022]]-Tableau6[[#This Row],[Cumul 2021]]</f>
        <v>#N/A</v>
      </c>
      <c r="L242" s="37" t="e">
        <f>Tableau6[[#This Row],[Ecart 2021 2022]]/Tableau6[[#This Row],[Cumul 2021]]</f>
        <v>#N/A</v>
      </c>
      <c r="M242" s="35" t="str">
        <f>IF(ISNA(Tableau6[[#This Row],[Position 2023]]),"",INDEX(tabSuiviConso[HP + HC
cumul],Tableau6[[#This Row],[Position 2023]],1))</f>
        <v/>
      </c>
      <c r="N242" s="56" t="e">
        <f>IF(ISNA(Tableau6[[#This Row],[Position 2023]]),Tableau6[[#This Row],[Position 2023]],Tableau6[[#This Row],[2023]]-M$2)</f>
        <v>#N/A</v>
      </c>
      <c r="O242" s="35" t="e">
        <f>Tableau6[[#This Row],[Cumul 2023]]-Tableau6[[#This Row],[Cumul 2022]]</f>
        <v>#N/A</v>
      </c>
      <c r="P242" s="37" t="e">
        <f>Tableau6[[#This Row],[Ecart 2022 2023]]/Tableau6[[#This Row],[Cumul 2022]]</f>
        <v>#N/A</v>
      </c>
      <c r="Q242" s="35" t="e">
        <f>MATCH(Tableau6[Jours Mois]&amp;"/"&amp;Tableau6[[#Headers],[2024]],tabSuiviConso[Jour Mois Année],0)</f>
        <v>#N/A</v>
      </c>
      <c r="R242" s="35" t="str">
        <f>IF(ISNA(Tableau6[[#This Row],[Position 2024]]),"",INDEX(tabSuiviConso[HP + HC
cumul],Tableau6[[#This Row],[Position 2024]],1))</f>
        <v/>
      </c>
      <c r="S242" s="56" t="e">
        <f>IF(ISNA(Tableau6[[#This Row],[Position 2024]]),Tableau6[[#This Row],[Position 2024]],Tableau6[[#This Row],[2024]]-R$2)</f>
        <v>#N/A</v>
      </c>
      <c r="T242" s="35" t="e">
        <f>Tableau6[[#This Row],[Cumul 2024]]-Tableau6[[#This Row],[Cumul 2023]]</f>
        <v>#N/A</v>
      </c>
      <c r="U242" s="36" t="e">
        <f>Tableau6[[#This Row],[Ecart 2023 2024]]/Tableau6[[#This Row],[Cumul 2023]]</f>
        <v>#N/A</v>
      </c>
    </row>
    <row r="243" spans="1:21" x14ac:dyDescent="0.2">
      <c r="A243" s="35">
        <v>8</v>
      </c>
      <c r="B243" s="35">
        <v>28</v>
      </c>
      <c r="C243" s="35" t="str">
        <f>Tableau6[Jour]&amp;"/"&amp;Tableau6[Mois]</f>
        <v>28/8</v>
      </c>
      <c r="D243" s="35" t="e">
        <f>MATCH(Tableau6[Jours Mois]&amp;"/"&amp;Tableau6[[#Headers],[2021]],tabSuiviConso[Jour Mois Année],0)</f>
        <v>#N/A</v>
      </c>
      <c r="E243" s="35" t="str">
        <f>IF(ISNA(Tableau6[[#This Row],[Position 2021]]),"",INDEX(tabSuiviConso[HP + HC
cumul],Tableau6[[#This Row],[Position 2021]],1))</f>
        <v/>
      </c>
      <c r="F243" s="56" t="e">
        <f>IF(ISNA(Tableau6[[#This Row],[Position 2021]]),Tableau6[[#This Row],[Position 2021]],Tableau6[[#This Row],[2021]]-E$2)</f>
        <v>#N/A</v>
      </c>
      <c r="G243" s="35" t="e">
        <f>MATCH(Tableau6[Jours Mois]&amp;"/"&amp;Tableau6[[#Headers],[2022]],tabSuiviConso[Jour Mois Année],0)</f>
        <v>#N/A</v>
      </c>
      <c r="H243" s="35" t="str">
        <f>IF(ISNA(Tableau6[[#This Row],[Position 2022]]),"",INDEX(tabSuiviConso[HP + HC
cumul],Tableau6[[#This Row],[Position 2022]],1))</f>
        <v/>
      </c>
      <c r="I243" s="56" t="e">
        <f>IF(ISNA(Tableau6[[#This Row],[Position 2022]]),Tableau6[[#This Row],[Position 2022]],Tableau6[[#This Row],[2022]]-H$2)</f>
        <v>#N/A</v>
      </c>
      <c r="J243" s="35" t="e">
        <f>MATCH(Tableau6[Jours Mois]&amp;"/"&amp;Tableau6[[#Headers],[2023]],tabSuiviConso[Jour Mois Année],0)</f>
        <v>#N/A</v>
      </c>
      <c r="K243" s="35" t="e">
        <f>Tableau6[[#This Row],[Cumul 2022]]-Tableau6[[#This Row],[Cumul 2021]]</f>
        <v>#N/A</v>
      </c>
      <c r="L243" s="37" t="e">
        <f>Tableau6[[#This Row],[Ecart 2021 2022]]/Tableau6[[#This Row],[Cumul 2021]]</f>
        <v>#N/A</v>
      </c>
      <c r="M243" s="35" t="str">
        <f>IF(ISNA(Tableau6[[#This Row],[Position 2023]]),"",INDEX(tabSuiviConso[HP + HC
cumul],Tableau6[[#This Row],[Position 2023]],1))</f>
        <v/>
      </c>
      <c r="N243" s="56" t="e">
        <f>IF(ISNA(Tableau6[[#This Row],[Position 2023]]),Tableau6[[#This Row],[Position 2023]],Tableau6[[#This Row],[2023]]-M$2)</f>
        <v>#N/A</v>
      </c>
      <c r="O243" s="35" t="e">
        <f>Tableau6[[#This Row],[Cumul 2023]]-Tableau6[[#This Row],[Cumul 2022]]</f>
        <v>#N/A</v>
      </c>
      <c r="P243" s="37" t="e">
        <f>Tableau6[[#This Row],[Ecart 2022 2023]]/Tableau6[[#This Row],[Cumul 2022]]</f>
        <v>#N/A</v>
      </c>
      <c r="Q243" s="35" t="e">
        <f>MATCH(Tableau6[Jours Mois]&amp;"/"&amp;Tableau6[[#Headers],[2024]],tabSuiviConso[Jour Mois Année],0)</f>
        <v>#N/A</v>
      </c>
      <c r="R243" s="35" t="str">
        <f>IF(ISNA(Tableau6[[#This Row],[Position 2024]]),"",INDEX(tabSuiviConso[HP + HC
cumul],Tableau6[[#This Row],[Position 2024]],1))</f>
        <v/>
      </c>
      <c r="S243" s="56" t="e">
        <f>IF(ISNA(Tableau6[[#This Row],[Position 2024]]),Tableau6[[#This Row],[Position 2024]],Tableau6[[#This Row],[2024]]-R$2)</f>
        <v>#N/A</v>
      </c>
      <c r="T243" s="35" t="e">
        <f>Tableau6[[#This Row],[Cumul 2024]]-Tableau6[[#This Row],[Cumul 2023]]</f>
        <v>#N/A</v>
      </c>
      <c r="U243" s="36" t="e">
        <f>Tableau6[[#This Row],[Ecart 2023 2024]]/Tableau6[[#This Row],[Cumul 2023]]</f>
        <v>#N/A</v>
      </c>
    </row>
    <row r="244" spans="1:21" x14ac:dyDescent="0.2">
      <c r="A244" s="35">
        <v>8</v>
      </c>
      <c r="B244" s="35">
        <v>29</v>
      </c>
      <c r="C244" s="35" t="str">
        <f>Tableau6[Jour]&amp;"/"&amp;Tableau6[Mois]</f>
        <v>29/8</v>
      </c>
      <c r="D244" s="35" t="e">
        <f>MATCH(Tableau6[Jours Mois]&amp;"/"&amp;Tableau6[[#Headers],[2021]],tabSuiviConso[Jour Mois Année],0)</f>
        <v>#N/A</v>
      </c>
      <c r="E244" s="35" t="str">
        <f>IF(ISNA(Tableau6[[#This Row],[Position 2021]]),"",INDEX(tabSuiviConso[HP + HC
cumul],Tableau6[[#This Row],[Position 2021]],1))</f>
        <v/>
      </c>
      <c r="F244" s="56" t="e">
        <f>IF(ISNA(Tableau6[[#This Row],[Position 2021]]),Tableau6[[#This Row],[Position 2021]],Tableau6[[#This Row],[2021]]-E$2)</f>
        <v>#N/A</v>
      </c>
      <c r="G244" s="35" t="e">
        <f>MATCH(Tableau6[Jours Mois]&amp;"/"&amp;Tableau6[[#Headers],[2022]],tabSuiviConso[Jour Mois Année],0)</f>
        <v>#N/A</v>
      </c>
      <c r="H244" s="35" t="str">
        <f>IF(ISNA(Tableau6[[#This Row],[Position 2022]]),"",INDEX(tabSuiviConso[HP + HC
cumul],Tableau6[[#This Row],[Position 2022]],1))</f>
        <v/>
      </c>
      <c r="I244" s="56" t="e">
        <f>IF(ISNA(Tableau6[[#This Row],[Position 2022]]),Tableau6[[#This Row],[Position 2022]],Tableau6[[#This Row],[2022]]-H$2)</f>
        <v>#N/A</v>
      </c>
      <c r="J244" s="35" t="e">
        <f>MATCH(Tableau6[Jours Mois]&amp;"/"&amp;Tableau6[[#Headers],[2023]],tabSuiviConso[Jour Mois Année],0)</f>
        <v>#N/A</v>
      </c>
      <c r="K244" s="35" t="e">
        <f>Tableau6[[#This Row],[Cumul 2022]]-Tableau6[[#This Row],[Cumul 2021]]</f>
        <v>#N/A</v>
      </c>
      <c r="L244" s="37" t="e">
        <f>Tableau6[[#This Row],[Ecart 2021 2022]]/Tableau6[[#This Row],[Cumul 2021]]</f>
        <v>#N/A</v>
      </c>
      <c r="M244" s="35" t="str">
        <f>IF(ISNA(Tableau6[[#This Row],[Position 2023]]),"",INDEX(tabSuiviConso[HP + HC
cumul],Tableau6[[#This Row],[Position 2023]],1))</f>
        <v/>
      </c>
      <c r="N244" s="56" t="e">
        <f>IF(ISNA(Tableau6[[#This Row],[Position 2023]]),Tableau6[[#This Row],[Position 2023]],Tableau6[[#This Row],[2023]]-M$2)</f>
        <v>#N/A</v>
      </c>
      <c r="O244" s="35" t="e">
        <f>Tableau6[[#This Row],[Cumul 2023]]-Tableau6[[#This Row],[Cumul 2022]]</f>
        <v>#N/A</v>
      </c>
      <c r="P244" s="37" t="e">
        <f>Tableau6[[#This Row],[Ecart 2022 2023]]/Tableau6[[#This Row],[Cumul 2022]]</f>
        <v>#N/A</v>
      </c>
      <c r="Q244" s="35" t="e">
        <f>MATCH(Tableau6[Jours Mois]&amp;"/"&amp;Tableau6[[#Headers],[2024]],tabSuiviConso[Jour Mois Année],0)</f>
        <v>#N/A</v>
      </c>
      <c r="R244" s="35" t="str">
        <f>IF(ISNA(Tableau6[[#This Row],[Position 2024]]),"",INDEX(tabSuiviConso[HP + HC
cumul],Tableau6[[#This Row],[Position 2024]],1))</f>
        <v/>
      </c>
      <c r="S244" s="56" t="e">
        <f>IF(ISNA(Tableau6[[#This Row],[Position 2024]]),Tableau6[[#This Row],[Position 2024]],Tableau6[[#This Row],[2024]]-R$2)</f>
        <v>#N/A</v>
      </c>
      <c r="T244" s="35" t="e">
        <f>Tableau6[[#This Row],[Cumul 2024]]-Tableau6[[#This Row],[Cumul 2023]]</f>
        <v>#N/A</v>
      </c>
      <c r="U244" s="36" t="e">
        <f>Tableau6[[#This Row],[Ecart 2023 2024]]/Tableau6[[#This Row],[Cumul 2023]]</f>
        <v>#N/A</v>
      </c>
    </row>
    <row r="245" spans="1:21" x14ac:dyDescent="0.2">
      <c r="A245" s="35">
        <v>8</v>
      </c>
      <c r="B245" s="35">
        <v>30</v>
      </c>
      <c r="C245" s="35" t="str">
        <f>Tableau6[Jour]&amp;"/"&amp;Tableau6[Mois]</f>
        <v>30/8</v>
      </c>
      <c r="D245" s="35" t="e">
        <f>MATCH(Tableau6[Jours Mois]&amp;"/"&amp;Tableau6[[#Headers],[2021]],tabSuiviConso[Jour Mois Année],0)</f>
        <v>#N/A</v>
      </c>
      <c r="E245" s="35" t="str">
        <f>IF(ISNA(Tableau6[[#This Row],[Position 2021]]),"",INDEX(tabSuiviConso[HP + HC
cumul],Tableau6[[#This Row],[Position 2021]],1))</f>
        <v/>
      </c>
      <c r="F245" s="56" t="e">
        <f>IF(ISNA(Tableau6[[#This Row],[Position 2021]]),Tableau6[[#This Row],[Position 2021]],Tableau6[[#This Row],[2021]]-E$2)</f>
        <v>#N/A</v>
      </c>
      <c r="G245" s="35" t="e">
        <f>MATCH(Tableau6[Jours Mois]&amp;"/"&amp;Tableau6[[#Headers],[2022]],tabSuiviConso[Jour Mois Année],0)</f>
        <v>#N/A</v>
      </c>
      <c r="H245" s="35" t="str">
        <f>IF(ISNA(Tableau6[[#This Row],[Position 2022]]),"",INDEX(tabSuiviConso[HP + HC
cumul],Tableau6[[#This Row],[Position 2022]],1))</f>
        <v/>
      </c>
      <c r="I245" s="56" t="e">
        <f>IF(ISNA(Tableau6[[#This Row],[Position 2022]]),Tableau6[[#This Row],[Position 2022]],Tableau6[[#This Row],[2022]]-H$2)</f>
        <v>#N/A</v>
      </c>
      <c r="J245" s="35" t="e">
        <f>MATCH(Tableau6[Jours Mois]&amp;"/"&amp;Tableau6[[#Headers],[2023]],tabSuiviConso[Jour Mois Année],0)</f>
        <v>#N/A</v>
      </c>
      <c r="K245" s="35" t="e">
        <f>Tableau6[[#This Row],[Cumul 2022]]-Tableau6[[#This Row],[Cumul 2021]]</f>
        <v>#N/A</v>
      </c>
      <c r="L245" s="37" t="e">
        <f>Tableau6[[#This Row],[Ecart 2021 2022]]/Tableau6[[#This Row],[Cumul 2021]]</f>
        <v>#N/A</v>
      </c>
      <c r="M245" s="35" t="str">
        <f>IF(ISNA(Tableau6[[#This Row],[Position 2023]]),"",INDEX(tabSuiviConso[HP + HC
cumul],Tableau6[[#This Row],[Position 2023]],1))</f>
        <v/>
      </c>
      <c r="N245" s="56" t="e">
        <f>IF(ISNA(Tableau6[[#This Row],[Position 2023]]),Tableau6[[#This Row],[Position 2023]],Tableau6[[#This Row],[2023]]-M$2)</f>
        <v>#N/A</v>
      </c>
      <c r="O245" s="35" t="e">
        <f>Tableau6[[#This Row],[Cumul 2023]]-Tableau6[[#This Row],[Cumul 2022]]</f>
        <v>#N/A</v>
      </c>
      <c r="P245" s="37" t="e">
        <f>Tableau6[[#This Row],[Ecart 2022 2023]]/Tableau6[[#This Row],[Cumul 2022]]</f>
        <v>#N/A</v>
      </c>
      <c r="Q245" s="35" t="e">
        <f>MATCH(Tableau6[Jours Mois]&amp;"/"&amp;Tableau6[[#Headers],[2024]],tabSuiviConso[Jour Mois Année],0)</f>
        <v>#N/A</v>
      </c>
      <c r="R245" s="35" t="str">
        <f>IF(ISNA(Tableau6[[#This Row],[Position 2024]]),"",INDEX(tabSuiviConso[HP + HC
cumul],Tableau6[[#This Row],[Position 2024]],1))</f>
        <v/>
      </c>
      <c r="S245" s="56" t="e">
        <f>IF(ISNA(Tableau6[[#This Row],[Position 2024]]),Tableau6[[#This Row],[Position 2024]],Tableau6[[#This Row],[2024]]-R$2)</f>
        <v>#N/A</v>
      </c>
      <c r="T245" s="35" t="e">
        <f>Tableau6[[#This Row],[Cumul 2024]]-Tableau6[[#This Row],[Cumul 2023]]</f>
        <v>#N/A</v>
      </c>
      <c r="U245" s="36" t="e">
        <f>Tableau6[[#This Row],[Ecart 2023 2024]]/Tableau6[[#This Row],[Cumul 2023]]</f>
        <v>#N/A</v>
      </c>
    </row>
    <row r="246" spans="1:21" x14ac:dyDescent="0.2">
      <c r="A246" s="35">
        <v>8</v>
      </c>
      <c r="B246" s="35">
        <v>31</v>
      </c>
      <c r="C246" s="35" t="str">
        <f>Tableau6[Jour]&amp;"/"&amp;Tableau6[Mois]</f>
        <v>31/8</v>
      </c>
      <c r="D246" s="35" t="e">
        <f>MATCH(Tableau6[Jours Mois]&amp;"/"&amp;Tableau6[[#Headers],[2021]],tabSuiviConso[Jour Mois Année],0)</f>
        <v>#N/A</v>
      </c>
      <c r="E246" s="35" t="str">
        <f>IF(ISNA(Tableau6[[#This Row],[Position 2021]]),"",INDEX(tabSuiviConso[HP + HC
cumul],Tableau6[[#This Row],[Position 2021]],1))</f>
        <v/>
      </c>
      <c r="F246" s="56" t="e">
        <f>IF(ISNA(Tableau6[[#This Row],[Position 2021]]),Tableau6[[#This Row],[Position 2021]],Tableau6[[#This Row],[2021]]-E$2)</f>
        <v>#N/A</v>
      </c>
      <c r="G246" s="35" t="e">
        <f>MATCH(Tableau6[Jours Mois]&amp;"/"&amp;Tableau6[[#Headers],[2022]],tabSuiviConso[Jour Mois Année],0)</f>
        <v>#N/A</v>
      </c>
      <c r="H246" s="35" t="str">
        <f>IF(ISNA(Tableau6[[#This Row],[Position 2022]]),"",INDEX(tabSuiviConso[HP + HC
cumul],Tableau6[[#This Row],[Position 2022]],1))</f>
        <v/>
      </c>
      <c r="I246" s="56" t="e">
        <f>IF(ISNA(Tableau6[[#This Row],[Position 2022]]),Tableau6[[#This Row],[Position 2022]],Tableau6[[#This Row],[2022]]-H$2)</f>
        <v>#N/A</v>
      </c>
      <c r="J246" s="35" t="e">
        <f>MATCH(Tableau6[Jours Mois]&amp;"/"&amp;Tableau6[[#Headers],[2023]],tabSuiviConso[Jour Mois Année],0)</f>
        <v>#N/A</v>
      </c>
      <c r="K246" s="35" t="e">
        <f>Tableau6[[#This Row],[Cumul 2022]]-Tableau6[[#This Row],[Cumul 2021]]</f>
        <v>#N/A</v>
      </c>
      <c r="L246" s="37" t="e">
        <f>Tableau6[[#This Row],[Ecart 2021 2022]]/Tableau6[[#This Row],[Cumul 2021]]</f>
        <v>#N/A</v>
      </c>
      <c r="M246" s="35" t="str">
        <f>IF(ISNA(Tableau6[[#This Row],[Position 2023]]),"",INDEX(tabSuiviConso[HP + HC
cumul],Tableau6[[#This Row],[Position 2023]],1))</f>
        <v/>
      </c>
      <c r="N246" s="56" t="e">
        <f>IF(ISNA(Tableau6[[#This Row],[Position 2023]]),Tableau6[[#This Row],[Position 2023]],Tableau6[[#This Row],[2023]]-M$2)</f>
        <v>#N/A</v>
      </c>
      <c r="O246" s="35" t="e">
        <f>Tableau6[[#This Row],[Cumul 2023]]-Tableau6[[#This Row],[Cumul 2022]]</f>
        <v>#N/A</v>
      </c>
      <c r="P246" s="37" t="e">
        <f>Tableau6[[#This Row],[Ecart 2022 2023]]/Tableau6[[#This Row],[Cumul 2022]]</f>
        <v>#N/A</v>
      </c>
      <c r="Q246" s="35" t="e">
        <f>MATCH(Tableau6[Jours Mois]&amp;"/"&amp;Tableau6[[#Headers],[2024]],tabSuiviConso[Jour Mois Année],0)</f>
        <v>#N/A</v>
      </c>
      <c r="R246" s="35" t="str">
        <f>IF(ISNA(Tableau6[[#This Row],[Position 2024]]),"",INDEX(tabSuiviConso[HP + HC
cumul],Tableau6[[#This Row],[Position 2024]],1))</f>
        <v/>
      </c>
      <c r="S246" s="56" t="e">
        <f>IF(ISNA(Tableau6[[#This Row],[Position 2024]]),Tableau6[[#This Row],[Position 2024]],Tableau6[[#This Row],[2024]]-R$2)</f>
        <v>#N/A</v>
      </c>
      <c r="T246" s="35" t="e">
        <f>Tableau6[[#This Row],[Cumul 2024]]-Tableau6[[#This Row],[Cumul 2023]]</f>
        <v>#N/A</v>
      </c>
      <c r="U246" s="36" t="e">
        <f>Tableau6[[#This Row],[Ecart 2023 2024]]/Tableau6[[#This Row],[Cumul 2023]]</f>
        <v>#N/A</v>
      </c>
    </row>
    <row r="247" spans="1:21" x14ac:dyDescent="0.2">
      <c r="A247" s="35">
        <v>9</v>
      </c>
      <c r="B247" s="35">
        <v>1</v>
      </c>
      <c r="C247" s="35" t="str">
        <f>Tableau6[Jour]&amp;"/"&amp;Tableau6[Mois]</f>
        <v>1/9</v>
      </c>
      <c r="D247" s="35" t="e">
        <f>MATCH(Tableau6[Jours Mois]&amp;"/"&amp;Tableau6[[#Headers],[2021]],tabSuiviConso[Jour Mois Année],0)</f>
        <v>#N/A</v>
      </c>
      <c r="E247" s="35" t="str">
        <f>IF(ISNA(Tableau6[[#This Row],[Position 2021]]),"",INDEX(tabSuiviConso[HP + HC
cumul],Tableau6[[#This Row],[Position 2021]],1))</f>
        <v/>
      </c>
      <c r="F247" s="56" t="e">
        <f>IF(ISNA(Tableau6[[#This Row],[Position 2021]]),Tableau6[[#This Row],[Position 2021]],Tableau6[[#This Row],[2021]]-E$2)</f>
        <v>#N/A</v>
      </c>
      <c r="G247" s="35" t="e">
        <f>MATCH(Tableau6[Jours Mois]&amp;"/"&amp;Tableau6[[#Headers],[2022]],tabSuiviConso[Jour Mois Année],0)</f>
        <v>#N/A</v>
      </c>
      <c r="H247" s="35" t="str">
        <f>IF(ISNA(Tableau6[[#This Row],[Position 2022]]),"",INDEX(tabSuiviConso[HP + HC
cumul],Tableau6[[#This Row],[Position 2022]],1))</f>
        <v/>
      </c>
      <c r="I247" s="56" t="e">
        <f>IF(ISNA(Tableau6[[#This Row],[Position 2022]]),Tableau6[[#This Row],[Position 2022]],Tableau6[[#This Row],[2022]]-H$2)</f>
        <v>#N/A</v>
      </c>
      <c r="J247" s="35" t="e">
        <f>MATCH(Tableau6[Jours Mois]&amp;"/"&amp;Tableau6[[#Headers],[2023]],tabSuiviConso[Jour Mois Année],0)</f>
        <v>#N/A</v>
      </c>
      <c r="K247" s="35" t="e">
        <f>Tableau6[[#This Row],[Cumul 2022]]-Tableau6[[#This Row],[Cumul 2021]]</f>
        <v>#N/A</v>
      </c>
      <c r="L247" s="37" t="e">
        <f>Tableau6[[#This Row],[Ecart 2021 2022]]/Tableau6[[#This Row],[Cumul 2021]]</f>
        <v>#N/A</v>
      </c>
      <c r="M247" s="35" t="str">
        <f>IF(ISNA(Tableau6[[#This Row],[Position 2023]]),"",INDEX(tabSuiviConso[HP + HC
cumul],Tableau6[[#This Row],[Position 2023]],1))</f>
        <v/>
      </c>
      <c r="N247" s="56" t="e">
        <f>IF(ISNA(Tableau6[[#This Row],[Position 2023]]),Tableau6[[#This Row],[Position 2023]],Tableau6[[#This Row],[2023]]-M$2)</f>
        <v>#N/A</v>
      </c>
      <c r="O247" s="35" t="e">
        <f>Tableau6[[#This Row],[Cumul 2023]]-Tableau6[[#This Row],[Cumul 2022]]</f>
        <v>#N/A</v>
      </c>
      <c r="P247" s="37" t="e">
        <f>Tableau6[[#This Row],[Ecart 2022 2023]]/Tableau6[[#This Row],[Cumul 2022]]</f>
        <v>#N/A</v>
      </c>
      <c r="Q247" s="35" t="e">
        <f>MATCH(Tableau6[Jours Mois]&amp;"/"&amp;Tableau6[[#Headers],[2024]],tabSuiviConso[Jour Mois Année],0)</f>
        <v>#N/A</v>
      </c>
      <c r="R247" s="35" t="str">
        <f>IF(ISNA(Tableau6[[#This Row],[Position 2024]]),"",INDEX(tabSuiviConso[HP + HC
cumul],Tableau6[[#This Row],[Position 2024]],1))</f>
        <v/>
      </c>
      <c r="S247" s="56" t="e">
        <f>IF(ISNA(Tableau6[[#This Row],[Position 2024]]),Tableau6[[#This Row],[Position 2024]],Tableau6[[#This Row],[2024]]-R$2)</f>
        <v>#N/A</v>
      </c>
      <c r="T247" s="35" t="e">
        <f>Tableau6[[#This Row],[Cumul 2024]]-Tableau6[[#This Row],[Cumul 2023]]</f>
        <v>#N/A</v>
      </c>
      <c r="U247" s="36" t="e">
        <f>Tableau6[[#This Row],[Ecart 2023 2024]]/Tableau6[[#This Row],[Cumul 2023]]</f>
        <v>#N/A</v>
      </c>
    </row>
    <row r="248" spans="1:21" x14ac:dyDescent="0.2">
      <c r="A248" s="35">
        <v>9</v>
      </c>
      <c r="B248" s="35">
        <v>2</v>
      </c>
      <c r="C248" s="35" t="str">
        <f>Tableau6[Jour]&amp;"/"&amp;Tableau6[Mois]</f>
        <v>2/9</v>
      </c>
      <c r="D248" s="35" t="e">
        <f>MATCH(Tableau6[Jours Mois]&amp;"/"&amp;Tableau6[[#Headers],[2021]],tabSuiviConso[Jour Mois Année],0)</f>
        <v>#N/A</v>
      </c>
      <c r="E248" s="35" t="str">
        <f>IF(ISNA(Tableau6[[#This Row],[Position 2021]]),"",INDEX(tabSuiviConso[HP + HC
cumul],Tableau6[[#This Row],[Position 2021]],1))</f>
        <v/>
      </c>
      <c r="F248" s="56" t="e">
        <f>IF(ISNA(Tableau6[[#This Row],[Position 2021]]),Tableau6[[#This Row],[Position 2021]],Tableau6[[#This Row],[2021]]-E$2)</f>
        <v>#N/A</v>
      </c>
      <c r="G248" s="35" t="e">
        <f>MATCH(Tableau6[Jours Mois]&amp;"/"&amp;Tableau6[[#Headers],[2022]],tabSuiviConso[Jour Mois Année],0)</f>
        <v>#N/A</v>
      </c>
      <c r="H248" s="35" t="str">
        <f>IF(ISNA(Tableau6[[#This Row],[Position 2022]]),"",INDEX(tabSuiviConso[HP + HC
cumul],Tableau6[[#This Row],[Position 2022]],1))</f>
        <v/>
      </c>
      <c r="I248" s="56" t="e">
        <f>IF(ISNA(Tableau6[[#This Row],[Position 2022]]),Tableau6[[#This Row],[Position 2022]],Tableau6[[#This Row],[2022]]-H$2)</f>
        <v>#N/A</v>
      </c>
      <c r="J248" s="35" t="e">
        <f>MATCH(Tableau6[Jours Mois]&amp;"/"&amp;Tableau6[[#Headers],[2023]],tabSuiviConso[Jour Mois Année],0)</f>
        <v>#N/A</v>
      </c>
      <c r="K248" s="35" t="e">
        <f>Tableau6[[#This Row],[Cumul 2022]]-Tableau6[[#This Row],[Cumul 2021]]</f>
        <v>#N/A</v>
      </c>
      <c r="L248" s="37" t="e">
        <f>Tableau6[[#This Row],[Ecart 2021 2022]]/Tableau6[[#This Row],[Cumul 2021]]</f>
        <v>#N/A</v>
      </c>
      <c r="M248" s="35" t="str">
        <f>IF(ISNA(Tableau6[[#This Row],[Position 2023]]),"",INDEX(tabSuiviConso[HP + HC
cumul],Tableau6[[#This Row],[Position 2023]],1))</f>
        <v/>
      </c>
      <c r="N248" s="56" t="e">
        <f>IF(ISNA(Tableau6[[#This Row],[Position 2023]]),Tableau6[[#This Row],[Position 2023]],Tableau6[[#This Row],[2023]]-M$2)</f>
        <v>#N/A</v>
      </c>
      <c r="O248" s="35" t="e">
        <f>Tableau6[[#This Row],[Cumul 2023]]-Tableau6[[#This Row],[Cumul 2022]]</f>
        <v>#N/A</v>
      </c>
      <c r="P248" s="37" t="e">
        <f>Tableau6[[#This Row],[Ecart 2022 2023]]/Tableau6[[#This Row],[Cumul 2022]]</f>
        <v>#N/A</v>
      </c>
      <c r="Q248" s="35" t="e">
        <f>MATCH(Tableau6[Jours Mois]&amp;"/"&amp;Tableau6[[#Headers],[2024]],tabSuiviConso[Jour Mois Année],0)</f>
        <v>#N/A</v>
      </c>
      <c r="R248" s="35" t="str">
        <f>IF(ISNA(Tableau6[[#This Row],[Position 2024]]),"",INDEX(tabSuiviConso[HP + HC
cumul],Tableau6[[#This Row],[Position 2024]],1))</f>
        <v/>
      </c>
      <c r="S248" s="56" t="e">
        <f>IF(ISNA(Tableau6[[#This Row],[Position 2024]]),Tableau6[[#This Row],[Position 2024]],Tableau6[[#This Row],[2024]]-R$2)</f>
        <v>#N/A</v>
      </c>
      <c r="T248" s="35" t="e">
        <f>Tableau6[[#This Row],[Cumul 2024]]-Tableau6[[#This Row],[Cumul 2023]]</f>
        <v>#N/A</v>
      </c>
      <c r="U248" s="36" t="e">
        <f>Tableau6[[#This Row],[Ecart 2023 2024]]/Tableau6[[#This Row],[Cumul 2023]]</f>
        <v>#N/A</v>
      </c>
    </row>
    <row r="249" spans="1:21" x14ac:dyDescent="0.2">
      <c r="A249" s="35">
        <v>9</v>
      </c>
      <c r="B249" s="35">
        <v>3</v>
      </c>
      <c r="C249" s="35" t="str">
        <f>Tableau6[Jour]&amp;"/"&amp;Tableau6[Mois]</f>
        <v>3/9</v>
      </c>
      <c r="D249" s="35" t="e">
        <f>MATCH(Tableau6[Jours Mois]&amp;"/"&amp;Tableau6[[#Headers],[2021]],tabSuiviConso[Jour Mois Année],0)</f>
        <v>#N/A</v>
      </c>
      <c r="E249" s="35" t="str">
        <f>IF(ISNA(Tableau6[[#This Row],[Position 2021]]),"",INDEX(tabSuiviConso[HP + HC
cumul],Tableau6[[#This Row],[Position 2021]],1))</f>
        <v/>
      </c>
      <c r="F249" s="56" t="e">
        <f>IF(ISNA(Tableau6[[#This Row],[Position 2021]]),Tableau6[[#This Row],[Position 2021]],Tableau6[[#This Row],[2021]]-E$2)</f>
        <v>#N/A</v>
      </c>
      <c r="G249" s="35" t="e">
        <f>MATCH(Tableau6[Jours Mois]&amp;"/"&amp;Tableau6[[#Headers],[2022]],tabSuiviConso[Jour Mois Année],0)</f>
        <v>#N/A</v>
      </c>
      <c r="H249" s="35" t="str">
        <f>IF(ISNA(Tableau6[[#This Row],[Position 2022]]),"",INDEX(tabSuiviConso[HP + HC
cumul],Tableau6[[#This Row],[Position 2022]],1))</f>
        <v/>
      </c>
      <c r="I249" s="56" t="e">
        <f>IF(ISNA(Tableau6[[#This Row],[Position 2022]]),Tableau6[[#This Row],[Position 2022]],Tableau6[[#This Row],[2022]]-H$2)</f>
        <v>#N/A</v>
      </c>
      <c r="J249" s="35" t="e">
        <f>MATCH(Tableau6[Jours Mois]&amp;"/"&amp;Tableau6[[#Headers],[2023]],tabSuiviConso[Jour Mois Année],0)</f>
        <v>#N/A</v>
      </c>
      <c r="K249" s="35" t="e">
        <f>Tableau6[[#This Row],[Cumul 2022]]-Tableau6[[#This Row],[Cumul 2021]]</f>
        <v>#N/A</v>
      </c>
      <c r="L249" s="37" t="e">
        <f>Tableau6[[#This Row],[Ecart 2021 2022]]/Tableau6[[#This Row],[Cumul 2021]]</f>
        <v>#N/A</v>
      </c>
      <c r="M249" s="35" t="str">
        <f>IF(ISNA(Tableau6[[#This Row],[Position 2023]]),"",INDEX(tabSuiviConso[HP + HC
cumul],Tableau6[[#This Row],[Position 2023]],1))</f>
        <v/>
      </c>
      <c r="N249" s="56" t="e">
        <f>IF(ISNA(Tableau6[[#This Row],[Position 2023]]),Tableau6[[#This Row],[Position 2023]],Tableau6[[#This Row],[2023]]-M$2)</f>
        <v>#N/A</v>
      </c>
      <c r="O249" s="35" t="e">
        <f>Tableau6[[#This Row],[Cumul 2023]]-Tableau6[[#This Row],[Cumul 2022]]</f>
        <v>#N/A</v>
      </c>
      <c r="P249" s="37" t="e">
        <f>Tableau6[[#This Row],[Ecart 2022 2023]]/Tableau6[[#This Row],[Cumul 2022]]</f>
        <v>#N/A</v>
      </c>
      <c r="Q249" s="35" t="e">
        <f>MATCH(Tableau6[Jours Mois]&amp;"/"&amp;Tableau6[[#Headers],[2024]],tabSuiviConso[Jour Mois Année],0)</f>
        <v>#N/A</v>
      </c>
      <c r="R249" s="35" t="str">
        <f>IF(ISNA(Tableau6[[#This Row],[Position 2024]]),"",INDEX(tabSuiviConso[HP + HC
cumul],Tableau6[[#This Row],[Position 2024]],1))</f>
        <v/>
      </c>
      <c r="S249" s="56" t="e">
        <f>IF(ISNA(Tableau6[[#This Row],[Position 2024]]),Tableau6[[#This Row],[Position 2024]],Tableau6[[#This Row],[2024]]-R$2)</f>
        <v>#N/A</v>
      </c>
      <c r="T249" s="35" t="e">
        <f>Tableau6[[#This Row],[Cumul 2024]]-Tableau6[[#This Row],[Cumul 2023]]</f>
        <v>#N/A</v>
      </c>
      <c r="U249" s="36" t="e">
        <f>Tableau6[[#This Row],[Ecart 2023 2024]]/Tableau6[[#This Row],[Cumul 2023]]</f>
        <v>#N/A</v>
      </c>
    </row>
    <row r="250" spans="1:21" x14ac:dyDescent="0.2">
      <c r="A250" s="35">
        <v>9</v>
      </c>
      <c r="B250" s="35">
        <v>4</v>
      </c>
      <c r="C250" s="35" t="str">
        <f>Tableau6[Jour]&amp;"/"&amp;Tableau6[Mois]</f>
        <v>4/9</v>
      </c>
      <c r="D250" s="35" t="e">
        <f>MATCH(Tableau6[Jours Mois]&amp;"/"&amp;Tableau6[[#Headers],[2021]],tabSuiviConso[Jour Mois Année],0)</f>
        <v>#N/A</v>
      </c>
      <c r="E250" s="35" t="str">
        <f>IF(ISNA(Tableau6[[#This Row],[Position 2021]]),"",INDEX(tabSuiviConso[HP + HC
cumul],Tableau6[[#This Row],[Position 2021]],1))</f>
        <v/>
      </c>
      <c r="F250" s="56" t="e">
        <f>IF(ISNA(Tableau6[[#This Row],[Position 2021]]),Tableau6[[#This Row],[Position 2021]],Tableau6[[#This Row],[2021]]-E$2)</f>
        <v>#N/A</v>
      </c>
      <c r="G250" s="35" t="e">
        <f>MATCH(Tableau6[Jours Mois]&amp;"/"&amp;Tableau6[[#Headers],[2022]],tabSuiviConso[Jour Mois Année],0)</f>
        <v>#N/A</v>
      </c>
      <c r="H250" s="35" t="str">
        <f>IF(ISNA(Tableau6[[#This Row],[Position 2022]]),"",INDEX(tabSuiviConso[HP + HC
cumul],Tableau6[[#This Row],[Position 2022]],1))</f>
        <v/>
      </c>
      <c r="I250" s="56" t="e">
        <f>IF(ISNA(Tableau6[[#This Row],[Position 2022]]),Tableau6[[#This Row],[Position 2022]],Tableau6[[#This Row],[2022]]-H$2)</f>
        <v>#N/A</v>
      </c>
      <c r="J250" s="35" t="e">
        <f>MATCH(Tableau6[Jours Mois]&amp;"/"&amp;Tableau6[[#Headers],[2023]],tabSuiviConso[Jour Mois Année],0)</f>
        <v>#N/A</v>
      </c>
      <c r="K250" s="35" t="e">
        <f>Tableau6[[#This Row],[Cumul 2022]]-Tableau6[[#This Row],[Cumul 2021]]</f>
        <v>#N/A</v>
      </c>
      <c r="L250" s="37" t="e">
        <f>Tableau6[[#This Row],[Ecart 2021 2022]]/Tableau6[[#This Row],[Cumul 2021]]</f>
        <v>#N/A</v>
      </c>
      <c r="M250" s="35" t="str">
        <f>IF(ISNA(Tableau6[[#This Row],[Position 2023]]),"",INDEX(tabSuiviConso[HP + HC
cumul],Tableau6[[#This Row],[Position 2023]],1))</f>
        <v/>
      </c>
      <c r="N250" s="56" t="e">
        <f>IF(ISNA(Tableau6[[#This Row],[Position 2023]]),Tableau6[[#This Row],[Position 2023]],Tableau6[[#This Row],[2023]]-M$2)</f>
        <v>#N/A</v>
      </c>
      <c r="O250" s="35" t="e">
        <f>Tableau6[[#This Row],[Cumul 2023]]-Tableau6[[#This Row],[Cumul 2022]]</f>
        <v>#N/A</v>
      </c>
      <c r="P250" s="37" t="e">
        <f>Tableau6[[#This Row],[Ecart 2022 2023]]/Tableau6[[#This Row],[Cumul 2022]]</f>
        <v>#N/A</v>
      </c>
      <c r="Q250" s="35" t="e">
        <f>MATCH(Tableau6[Jours Mois]&amp;"/"&amp;Tableau6[[#Headers],[2024]],tabSuiviConso[Jour Mois Année],0)</f>
        <v>#N/A</v>
      </c>
      <c r="R250" s="35" t="str">
        <f>IF(ISNA(Tableau6[[#This Row],[Position 2024]]),"",INDEX(tabSuiviConso[HP + HC
cumul],Tableau6[[#This Row],[Position 2024]],1))</f>
        <v/>
      </c>
      <c r="S250" s="56" t="e">
        <f>IF(ISNA(Tableau6[[#This Row],[Position 2024]]),Tableau6[[#This Row],[Position 2024]],Tableau6[[#This Row],[2024]]-R$2)</f>
        <v>#N/A</v>
      </c>
      <c r="T250" s="35" t="e">
        <f>Tableau6[[#This Row],[Cumul 2024]]-Tableau6[[#This Row],[Cumul 2023]]</f>
        <v>#N/A</v>
      </c>
      <c r="U250" s="36" t="e">
        <f>Tableau6[[#This Row],[Ecart 2023 2024]]/Tableau6[[#This Row],[Cumul 2023]]</f>
        <v>#N/A</v>
      </c>
    </row>
    <row r="251" spans="1:21" x14ac:dyDescent="0.2">
      <c r="A251" s="35">
        <v>9</v>
      </c>
      <c r="B251" s="35">
        <v>5</v>
      </c>
      <c r="C251" s="35" t="str">
        <f>Tableau6[Jour]&amp;"/"&amp;Tableau6[Mois]</f>
        <v>5/9</v>
      </c>
      <c r="D251" s="35" t="e">
        <f>MATCH(Tableau6[Jours Mois]&amp;"/"&amp;Tableau6[[#Headers],[2021]],tabSuiviConso[Jour Mois Année],0)</f>
        <v>#N/A</v>
      </c>
      <c r="E251" s="35" t="str">
        <f>IF(ISNA(Tableau6[[#This Row],[Position 2021]]),"",INDEX(tabSuiviConso[HP + HC
cumul],Tableau6[[#This Row],[Position 2021]],1))</f>
        <v/>
      </c>
      <c r="F251" s="56" t="e">
        <f>IF(ISNA(Tableau6[[#This Row],[Position 2021]]),Tableau6[[#This Row],[Position 2021]],Tableau6[[#This Row],[2021]]-E$2)</f>
        <v>#N/A</v>
      </c>
      <c r="G251" s="35" t="e">
        <f>MATCH(Tableau6[Jours Mois]&amp;"/"&amp;Tableau6[[#Headers],[2022]],tabSuiviConso[Jour Mois Année],0)</f>
        <v>#N/A</v>
      </c>
      <c r="H251" s="35" t="str">
        <f>IF(ISNA(Tableau6[[#This Row],[Position 2022]]),"",INDEX(tabSuiviConso[HP + HC
cumul],Tableau6[[#This Row],[Position 2022]],1))</f>
        <v/>
      </c>
      <c r="I251" s="56" t="e">
        <f>IF(ISNA(Tableau6[[#This Row],[Position 2022]]),Tableau6[[#This Row],[Position 2022]],Tableau6[[#This Row],[2022]]-H$2)</f>
        <v>#N/A</v>
      </c>
      <c r="J251" s="35" t="e">
        <f>MATCH(Tableau6[Jours Mois]&amp;"/"&amp;Tableau6[[#Headers],[2023]],tabSuiviConso[Jour Mois Année],0)</f>
        <v>#N/A</v>
      </c>
      <c r="K251" s="35" t="e">
        <f>Tableau6[[#This Row],[Cumul 2022]]-Tableau6[[#This Row],[Cumul 2021]]</f>
        <v>#N/A</v>
      </c>
      <c r="L251" s="37" t="e">
        <f>Tableau6[[#This Row],[Ecart 2021 2022]]/Tableau6[[#This Row],[Cumul 2021]]</f>
        <v>#N/A</v>
      </c>
      <c r="M251" s="35" t="str">
        <f>IF(ISNA(Tableau6[[#This Row],[Position 2023]]),"",INDEX(tabSuiviConso[HP + HC
cumul],Tableau6[[#This Row],[Position 2023]],1))</f>
        <v/>
      </c>
      <c r="N251" s="56" t="e">
        <f>IF(ISNA(Tableau6[[#This Row],[Position 2023]]),Tableau6[[#This Row],[Position 2023]],Tableau6[[#This Row],[2023]]-M$2)</f>
        <v>#N/A</v>
      </c>
      <c r="O251" s="35" t="e">
        <f>Tableau6[[#This Row],[Cumul 2023]]-Tableau6[[#This Row],[Cumul 2022]]</f>
        <v>#N/A</v>
      </c>
      <c r="P251" s="37" t="e">
        <f>Tableau6[[#This Row],[Ecart 2022 2023]]/Tableau6[[#This Row],[Cumul 2022]]</f>
        <v>#N/A</v>
      </c>
      <c r="Q251" s="35" t="e">
        <f>MATCH(Tableau6[Jours Mois]&amp;"/"&amp;Tableau6[[#Headers],[2024]],tabSuiviConso[Jour Mois Année],0)</f>
        <v>#N/A</v>
      </c>
      <c r="R251" s="35" t="str">
        <f>IF(ISNA(Tableau6[[#This Row],[Position 2024]]),"",INDEX(tabSuiviConso[HP + HC
cumul],Tableau6[[#This Row],[Position 2024]],1))</f>
        <v/>
      </c>
      <c r="S251" s="56" t="e">
        <f>IF(ISNA(Tableau6[[#This Row],[Position 2024]]),Tableau6[[#This Row],[Position 2024]],Tableau6[[#This Row],[2024]]-R$2)</f>
        <v>#N/A</v>
      </c>
      <c r="T251" s="35" t="e">
        <f>Tableau6[[#This Row],[Cumul 2024]]-Tableau6[[#This Row],[Cumul 2023]]</f>
        <v>#N/A</v>
      </c>
      <c r="U251" s="36" t="e">
        <f>Tableau6[[#This Row],[Ecart 2023 2024]]/Tableau6[[#This Row],[Cumul 2023]]</f>
        <v>#N/A</v>
      </c>
    </row>
    <row r="252" spans="1:21" x14ac:dyDescent="0.2">
      <c r="A252" s="35">
        <v>9</v>
      </c>
      <c r="B252" s="35">
        <v>6</v>
      </c>
      <c r="C252" s="35" t="str">
        <f>Tableau6[Jour]&amp;"/"&amp;Tableau6[Mois]</f>
        <v>6/9</v>
      </c>
      <c r="D252" s="35" t="e">
        <f>MATCH(Tableau6[Jours Mois]&amp;"/"&amp;Tableau6[[#Headers],[2021]],tabSuiviConso[Jour Mois Année],0)</f>
        <v>#N/A</v>
      </c>
      <c r="E252" s="35" t="str">
        <f>IF(ISNA(Tableau6[[#This Row],[Position 2021]]),"",INDEX(tabSuiviConso[HP + HC
cumul],Tableau6[[#This Row],[Position 2021]],1))</f>
        <v/>
      </c>
      <c r="F252" s="56" t="e">
        <f>IF(ISNA(Tableau6[[#This Row],[Position 2021]]),Tableau6[[#This Row],[Position 2021]],Tableau6[[#This Row],[2021]]-E$2)</f>
        <v>#N/A</v>
      </c>
      <c r="G252" s="35" t="e">
        <f>MATCH(Tableau6[Jours Mois]&amp;"/"&amp;Tableau6[[#Headers],[2022]],tabSuiviConso[Jour Mois Année],0)</f>
        <v>#N/A</v>
      </c>
      <c r="H252" s="35" t="str">
        <f>IF(ISNA(Tableau6[[#This Row],[Position 2022]]),"",INDEX(tabSuiviConso[HP + HC
cumul],Tableau6[[#This Row],[Position 2022]],1))</f>
        <v/>
      </c>
      <c r="I252" s="56" t="e">
        <f>IF(ISNA(Tableau6[[#This Row],[Position 2022]]),Tableau6[[#This Row],[Position 2022]],Tableau6[[#This Row],[2022]]-H$2)</f>
        <v>#N/A</v>
      </c>
      <c r="J252" s="35" t="e">
        <f>MATCH(Tableau6[Jours Mois]&amp;"/"&amp;Tableau6[[#Headers],[2023]],tabSuiviConso[Jour Mois Année],0)</f>
        <v>#N/A</v>
      </c>
      <c r="K252" s="35" t="e">
        <f>Tableau6[[#This Row],[Cumul 2022]]-Tableau6[[#This Row],[Cumul 2021]]</f>
        <v>#N/A</v>
      </c>
      <c r="L252" s="37" t="e">
        <f>Tableau6[[#This Row],[Ecart 2021 2022]]/Tableau6[[#This Row],[Cumul 2021]]</f>
        <v>#N/A</v>
      </c>
      <c r="M252" s="35" t="str">
        <f>IF(ISNA(Tableau6[[#This Row],[Position 2023]]),"",INDEX(tabSuiviConso[HP + HC
cumul],Tableau6[[#This Row],[Position 2023]],1))</f>
        <v/>
      </c>
      <c r="N252" s="56" t="e">
        <f>IF(ISNA(Tableau6[[#This Row],[Position 2023]]),Tableau6[[#This Row],[Position 2023]],Tableau6[[#This Row],[2023]]-M$2)</f>
        <v>#N/A</v>
      </c>
      <c r="O252" s="35" t="e">
        <f>Tableau6[[#This Row],[Cumul 2023]]-Tableau6[[#This Row],[Cumul 2022]]</f>
        <v>#N/A</v>
      </c>
      <c r="P252" s="37" t="e">
        <f>Tableau6[[#This Row],[Ecart 2022 2023]]/Tableau6[[#This Row],[Cumul 2022]]</f>
        <v>#N/A</v>
      </c>
      <c r="Q252" s="35" t="e">
        <f>MATCH(Tableau6[Jours Mois]&amp;"/"&amp;Tableau6[[#Headers],[2024]],tabSuiviConso[Jour Mois Année],0)</f>
        <v>#N/A</v>
      </c>
      <c r="R252" s="35" t="str">
        <f>IF(ISNA(Tableau6[[#This Row],[Position 2024]]),"",INDEX(tabSuiviConso[HP + HC
cumul],Tableau6[[#This Row],[Position 2024]],1))</f>
        <v/>
      </c>
      <c r="S252" s="56" t="e">
        <f>IF(ISNA(Tableau6[[#This Row],[Position 2024]]),Tableau6[[#This Row],[Position 2024]],Tableau6[[#This Row],[2024]]-R$2)</f>
        <v>#N/A</v>
      </c>
      <c r="T252" s="35" t="e">
        <f>Tableau6[[#This Row],[Cumul 2024]]-Tableau6[[#This Row],[Cumul 2023]]</f>
        <v>#N/A</v>
      </c>
      <c r="U252" s="36" t="e">
        <f>Tableau6[[#This Row],[Ecart 2023 2024]]/Tableau6[[#This Row],[Cumul 2023]]</f>
        <v>#N/A</v>
      </c>
    </row>
    <row r="253" spans="1:21" x14ac:dyDescent="0.2">
      <c r="A253" s="35">
        <v>9</v>
      </c>
      <c r="B253" s="35">
        <v>7</v>
      </c>
      <c r="C253" s="35" t="str">
        <f>Tableau6[Jour]&amp;"/"&amp;Tableau6[Mois]</f>
        <v>7/9</v>
      </c>
      <c r="D253" s="35" t="e">
        <f>MATCH(Tableau6[Jours Mois]&amp;"/"&amp;Tableau6[[#Headers],[2021]],tabSuiviConso[Jour Mois Année],0)</f>
        <v>#N/A</v>
      </c>
      <c r="E253" s="35" t="str">
        <f>IF(ISNA(Tableau6[[#This Row],[Position 2021]]),"",INDEX(tabSuiviConso[HP + HC
cumul],Tableau6[[#This Row],[Position 2021]],1))</f>
        <v/>
      </c>
      <c r="F253" s="56" t="e">
        <f>IF(ISNA(Tableau6[[#This Row],[Position 2021]]),Tableau6[[#This Row],[Position 2021]],Tableau6[[#This Row],[2021]]-E$2)</f>
        <v>#N/A</v>
      </c>
      <c r="G253" s="35" t="e">
        <f>MATCH(Tableau6[Jours Mois]&amp;"/"&amp;Tableau6[[#Headers],[2022]],tabSuiviConso[Jour Mois Année],0)</f>
        <v>#N/A</v>
      </c>
      <c r="H253" s="35" t="str">
        <f>IF(ISNA(Tableau6[[#This Row],[Position 2022]]),"",INDEX(tabSuiviConso[HP + HC
cumul],Tableau6[[#This Row],[Position 2022]],1))</f>
        <v/>
      </c>
      <c r="I253" s="56" t="e">
        <f>IF(ISNA(Tableau6[[#This Row],[Position 2022]]),Tableau6[[#This Row],[Position 2022]],Tableau6[[#This Row],[2022]]-H$2)</f>
        <v>#N/A</v>
      </c>
      <c r="J253" s="35" t="e">
        <f>MATCH(Tableau6[Jours Mois]&amp;"/"&amp;Tableau6[[#Headers],[2023]],tabSuiviConso[Jour Mois Année],0)</f>
        <v>#N/A</v>
      </c>
      <c r="K253" s="35" t="e">
        <f>Tableau6[[#This Row],[Cumul 2022]]-Tableau6[[#This Row],[Cumul 2021]]</f>
        <v>#N/A</v>
      </c>
      <c r="L253" s="37" t="e">
        <f>Tableau6[[#This Row],[Ecart 2021 2022]]/Tableau6[[#This Row],[Cumul 2021]]</f>
        <v>#N/A</v>
      </c>
      <c r="M253" s="35" t="str">
        <f>IF(ISNA(Tableau6[[#This Row],[Position 2023]]),"",INDEX(tabSuiviConso[HP + HC
cumul],Tableau6[[#This Row],[Position 2023]],1))</f>
        <v/>
      </c>
      <c r="N253" s="56" t="e">
        <f>IF(ISNA(Tableau6[[#This Row],[Position 2023]]),Tableau6[[#This Row],[Position 2023]],Tableau6[[#This Row],[2023]]-M$2)</f>
        <v>#N/A</v>
      </c>
      <c r="O253" s="35" t="e">
        <f>Tableau6[[#This Row],[Cumul 2023]]-Tableau6[[#This Row],[Cumul 2022]]</f>
        <v>#N/A</v>
      </c>
      <c r="P253" s="37" t="e">
        <f>Tableau6[[#This Row],[Ecart 2022 2023]]/Tableau6[[#This Row],[Cumul 2022]]</f>
        <v>#N/A</v>
      </c>
      <c r="Q253" s="35" t="e">
        <f>MATCH(Tableau6[Jours Mois]&amp;"/"&amp;Tableau6[[#Headers],[2024]],tabSuiviConso[Jour Mois Année],0)</f>
        <v>#N/A</v>
      </c>
      <c r="R253" s="35" t="str">
        <f>IF(ISNA(Tableau6[[#This Row],[Position 2024]]),"",INDEX(tabSuiviConso[HP + HC
cumul],Tableau6[[#This Row],[Position 2024]],1))</f>
        <v/>
      </c>
      <c r="S253" s="56" t="e">
        <f>IF(ISNA(Tableau6[[#This Row],[Position 2024]]),Tableau6[[#This Row],[Position 2024]],Tableau6[[#This Row],[2024]]-R$2)</f>
        <v>#N/A</v>
      </c>
      <c r="T253" s="35" t="e">
        <f>Tableau6[[#This Row],[Cumul 2024]]-Tableau6[[#This Row],[Cumul 2023]]</f>
        <v>#N/A</v>
      </c>
      <c r="U253" s="36" t="e">
        <f>Tableau6[[#This Row],[Ecart 2023 2024]]/Tableau6[[#This Row],[Cumul 2023]]</f>
        <v>#N/A</v>
      </c>
    </row>
    <row r="254" spans="1:21" x14ac:dyDescent="0.2">
      <c r="A254" s="35">
        <v>9</v>
      </c>
      <c r="B254" s="35">
        <v>8</v>
      </c>
      <c r="C254" s="35" t="str">
        <f>Tableau6[Jour]&amp;"/"&amp;Tableau6[Mois]</f>
        <v>8/9</v>
      </c>
      <c r="D254" s="35" t="e">
        <f>MATCH(Tableau6[Jours Mois]&amp;"/"&amp;Tableau6[[#Headers],[2021]],tabSuiviConso[Jour Mois Année],0)</f>
        <v>#N/A</v>
      </c>
      <c r="E254" s="35" t="str">
        <f>IF(ISNA(Tableau6[[#This Row],[Position 2021]]),"",INDEX(tabSuiviConso[HP + HC
cumul],Tableau6[[#This Row],[Position 2021]],1))</f>
        <v/>
      </c>
      <c r="F254" s="56" t="e">
        <f>IF(ISNA(Tableau6[[#This Row],[Position 2021]]),Tableau6[[#This Row],[Position 2021]],Tableau6[[#This Row],[2021]]-E$2)</f>
        <v>#N/A</v>
      </c>
      <c r="G254" s="35" t="e">
        <f>MATCH(Tableau6[Jours Mois]&amp;"/"&amp;Tableau6[[#Headers],[2022]],tabSuiviConso[Jour Mois Année],0)</f>
        <v>#N/A</v>
      </c>
      <c r="H254" s="35" t="str">
        <f>IF(ISNA(Tableau6[[#This Row],[Position 2022]]),"",INDEX(tabSuiviConso[HP + HC
cumul],Tableau6[[#This Row],[Position 2022]],1))</f>
        <v/>
      </c>
      <c r="I254" s="56" t="e">
        <f>IF(ISNA(Tableau6[[#This Row],[Position 2022]]),Tableau6[[#This Row],[Position 2022]],Tableau6[[#This Row],[2022]]-H$2)</f>
        <v>#N/A</v>
      </c>
      <c r="J254" s="35" t="e">
        <f>MATCH(Tableau6[Jours Mois]&amp;"/"&amp;Tableau6[[#Headers],[2023]],tabSuiviConso[Jour Mois Année],0)</f>
        <v>#N/A</v>
      </c>
      <c r="K254" s="35" t="e">
        <f>Tableau6[[#This Row],[Cumul 2022]]-Tableau6[[#This Row],[Cumul 2021]]</f>
        <v>#N/A</v>
      </c>
      <c r="L254" s="37" t="e">
        <f>Tableau6[[#This Row],[Ecart 2021 2022]]/Tableau6[[#This Row],[Cumul 2021]]</f>
        <v>#N/A</v>
      </c>
      <c r="M254" s="35" t="str">
        <f>IF(ISNA(Tableau6[[#This Row],[Position 2023]]),"",INDEX(tabSuiviConso[HP + HC
cumul],Tableau6[[#This Row],[Position 2023]],1))</f>
        <v/>
      </c>
      <c r="N254" s="56" t="e">
        <f>IF(ISNA(Tableau6[[#This Row],[Position 2023]]),Tableau6[[#This Row],[Position 2023]],Tableau6[[#This Row],[2023]]-M$2)</f>
        <v>#N/A</v>
      </c>
      <c r="O254" s="35" t="e">
        <f>Tableau6[[#This Row],[Cumul 2023]]-Tableau6[[#This Row],[Cumul 2022]]</f>
        <v>#N/A</v>
      </c>
      <c r="P254" s="37" t="e">
        <f>Tableau6[[#This Row],[Ecart 2022 2023]]/Tableau6[[#This Row],[Cumul 2022]]</f>
        <v>#N/A</v>
      </c>
      <c r="Q254" s="35" t="e">
        <f>MATCH(Tableau6[Jours Mois]&amp;"/"&amp;Tableau6[[#Headers],[2024]],tabSuiviConso[Jour Mois Année],0)</f>
        <v>#N/A</v>
      </c>
      <c r="R254" s="35" t="str">
        <f>IF(ISNA(Tableau6[[#This Row],[Position 2024]]),"",INDEX(tabSuiviConso[HP + HC
cumul],Tableau6[[#This Row],[Position 2024]],1))</f>
        <v/>
      </c>
      <c r="S254" s="56" t="e">
        <f>IF(ISNA(Tableau6[[#This Row],[Position 2024]]),Tableau6[[#This Row],[Position 2024]],Tableau6[[#This Row],[2024]]-R$2)</f>
        <v>#N/A</v>
      </c>
      <c r="T254" s="35" t="e">
        <f>Tableau6[[#This Row],[Cumul 2024]]-Tableau6[[#This Row],[Cumul 2023]]</f>
        <v>#N/A</v>
      </c>
      <c r="U254" s="36" t="e">
        <f>Tableau6[[#This Row],[Ecart 2023 2024]]/Tableau6[[#This Row],[Cumul 2023]]</f>
        <v>#N/A</v>
      </c>
    </row>
    <row r="255" spans="1:21" x14ac:dyDescent="0.2">
      <c r="A255" s="35">
        <v>9</v>
      </c>
      <c r="B255" s="35">
        <v>9</v>
      </c>
      <c r="C255" s="35" t="str">
        <f>Tableau6[Jour]&amp;"/"&amp;Tableau6[Mois]</f>
        <v>9/9</v>
      </c>
      <c r="D255" s="35" t="e">
        <f>MATCH(Tableau6[Jours Mois]&amp;"/"&amp;Tableau6[[#Headers],[2021]],tabSuiviConso[Jour Mois Année],0)</f>
        <v>#N/A</v>
      </c>
      <c r="E255" s="35" t="str">
        <f>IF(ISNA(Tableau6[[#This Row],[Position 2021]]),"",INDEX(tabSuiviConso[HP + HC
cumul],Tableau6[[#This Row],[Position 2021]],1))</f>
        <v/>
      </c>
      <c r="F255" s="56" t="e">
        <f>IF(ISNA(Tableau6[[#This Row],[Position 2021]]),Tableau6[[#This Row],[Position 2021]],Tableau6[[#This Row],[2021]]-E$2)</f>
        <v>#N/A</v>
      </c>
      <c r="G255" s="35" t="e">
        <f>MATCH(Tableau6[Jours Mois]&amp;"/"&amp;Tableau6[[#Headers],[2022]],tabSuiviConso[Jour Mois Année],0)</f>
        <v>#N/A</v>
      </c>
      <c r="H255" s="35" t="str">
        <f>IF(ISNA(Tableau6[[#This Row],[Position 2022]]),"",INDEX(tabSuiviConso[HP + HC
cumul],Tableau6[[#This Row],[Position 2022]],1))</f>
        <v/>
      </c>
      <c r="I255" s="56" t="e">
        <f>IF(ISNA(Tableau6[[#This Row],[Position 2022]]),Tableau6[[#This Row],[Position 2022]],Tableau6[[#This Row],[2022]]-H$2)</f>
        <v>#N/A</v>
      </c>
      <c r="J255" s="35" t="e">
        <f>MATCH(Tableau6[Jours Mois]&amp;"/"&amp;Tableau6[[#Headers],[2023]],tabSuiviConso[Jour Mois Année],0)</f>
        <v>#N/A</v>
      </c>
      <c r="K255" s="35" t="e">
        <f>Tableau6[[#This Row],[Cumul 2022]]-Tableau6[[#This Row],[Cumul 2021]]</f>
        <v>#N/A</v>
      </c>
      <c r="L255" s="37" t="e">
        <f>Tableau6[[#This Row],[Ecart 2021 2022]]/Tableau6[[#This Row],[Cumul 2021]]</f>
        <v>#N/A</v>
      </c>
      <c r="M255" s="35" t="str">
        <f>IF(ISNA(Tableau6[[#This Row],[Position 2023]]),"",INDEX(tabSuiviConso[HP + HC
cumul],Tableau6[[#This Row],[Position 2023]],1))</f>
        <v/>
      </c>
      <c r="N255" s="56" t="e">
        <f>IF(ISNA(Tableau6[[#This Row],[Position 2023]]),Tableau6[[#This Row],[Position 2023]],Tableau6[[#This Row],[2023]]-M$2)</f>
        <v>#N/A</v>
      </c>
      <c r="O255" s="35" t="e">
        <f>Tableau6[[#This Row],[Cumul 2023]]-Tableau6[[#This Row],[Cumul 2022]]</f>
        <v>#N/A</v>
      </c>
      <c r="P255" s="37" t="e">
        <f>Tableau6[[#This Row],[Ecart 2022 2023]]/Tableau6[[#This Row],[Cumul 2022]]</f>
        <v>#N/A</v>
      </c>
      <c r="Q255" s="35" t="e">
        <f>MATCH(Tableau6[Jours Mois]&amp;"/"&amp;Tableau6[[#Headers],[2024]],tabSuiviConso[Jour Mois Année],0)</f>
        <v>#N/A</v>
      </c>
      <c r="R255" s="35" t="str">
        <f>IF(ISNA(Tableau6[[#This Row],[Position 2024]]),"",INDEX(tabSuiviConso[HP + HC
cumul],Tableau6[[#This Row],[Position 2024]],1))</f>
        <v/>
      </c>
      <c r="S255" s="56" t="e">
        <f>IF(ISNA(Tableau6[[#This Row],[Position 2024]]),Tableau6[[#This Row],[Position 2024]],Tableau6[[#This Row],[2024]]-R$2)</f>
        <v>#N/A</v>
      </c>
      <c r="T255" s="35" t="e">
        <f>Tableau6[[#This Row],[Cumul 2024]]-Tableau6[[#This Row],[Cumul 2023]]</f>
        <v>#N/A</v>
      </c>
      <c r="U255" s="36" t="e">
        <f>Tableau6[[#This Row],[Ecart 2023 2024]]/Tableau6[[#This Row],[Cumul 2023]]</f>
        <v>#N/A</v>
      </c>
    </row>
    <row r="256" spans="1:21" x14ac:dyDescent="0.2">
      <c r="A256" s="35">
        <v>9</v>
      </c>
      <c r="B256" s="35">
        <v>10</v>
      </c>
      <c r="C256" s="35" t="str">
        <f>Tableau6[Jour]&amp;"/"&amp;Tableau6[Mois]</f>
        <v>10/9</v>
      </c>
      <c r="D256" s="35" t="e">
        <f>MATCH(Tableau6[Jours Mois]&amp;"/"&amp;Tableau6[[#Headers],[2021]],tabSuiviConso[Jour Mois Année],0)</f>
        <v>#N/A</v>
      </c>
      <c r="E256" s="35" t="str">
        <f>IF(ISNA(Tableau6[[#This Row],[Position 2021]]),"",INDEX(tabSuiviConso[HP + HC
cumul],Tableau6[[#This Row],[Position 2021]],1))</f>
        <v/>
      </c>
      <c r="F256" s="56" t="e">
        <f>IF(ISNA(Tableau6[[#This Row],[Position 2021]]),Tableau6[[#This Row],[Position 2021]],Tableau6[[#This Row],[2021]]-E$2)</f>
        <v>#N/A</v>
      </c>
      <c r="G256" s="35" t="e">
        <f>MATCH(Tableau6[Jours Mois]&amp;"/"&amp;Tableau6[[#Headers],[2022]],tabSuiviConso[Jour Mois Année],0)</f>
        <v>#N/A</v>
      </c>
      <c r="H256" s="35" t="str">
        <f>IF(ISNA(Tableau6[[#This Row],[Position 2022]]),"",INDEX(tabSuiviConso[HP + HC
cumul],Tableau6[[#This Row],[Position 2022]],1))</f>
        <v/>
      </c>
      <c r="I256" s="56" t="e">
        <f>IF(ISNA(Tableau6[[#This Row],[Position 2022]]),Tableau6[[#This Row],[Position 2022]],Tableau6[[#This Row],[2022]]-H$2)</f>
        <v>#N/A</v>
      </c>
      <c r="J256" s="35" t="e">
        <f>MATCH(Tableau6[Jours Mois]&amp;"/"&amp;Tableau6[[#Headers],[2023]],tabSuiviConso[Jour Mois Année],0)</f>
        <v>#N/A</v>
      </c>
      <c r="K256" s="35" t="e">
        <f>Tableau6[[#This Row],[Cumul 2022]]-Tableau6[[#This Row],[Cumul 2021]]</f>
        <v>#N/A</v>
      </c>
      <c r="L256" s="37" t="e">
        <f>Tableau6[[#This Row],[Ecart 2021 2022]]/Tableau6[[#This Row],[Cumul 2021]]</f>
        <v>#N/A</v>
      </c>
      <c r="M256" s="35" t="str">
        <f>IF(ISNA(Tableau6[[#This Row],[Position 2023]]),"",INDEX(tabSuiviConso[HP + HC
cumul],Tableau6[[#This Row],[Position 2023]],1))</f>
        <v/>
      </c>
      <c r="N256" s="56" t="e">
        <f>IF(ISNA(Tableau6[[#This Row],[Position 2023]]),Tableau6[[#This Row],[Position 2023]],Tableau6[[#This Row],[2023]]-M$2)</f>
        <v>#N/A</v>
      </c>
      <c r="O256" s="35" t="e">
        <f>Tableau6[[#This Row],[Cumul 2023]]-Tableau6[[#This Row],[Cumul 2022]]</f>
        <v>#N/A</v>
      </c>
      <c r="P256" s="37" t="e">
        <f>Tableau6[[#This Row],[Ecart 2022 2023]]/Tableau6[[#This Row],[Cumul 2022]]</f>
        <v>#N/A</v>
      </c>
      <c r="Q256" s="35" t="e">
        <f>MATCH(Tableau6[Jours Mois]&amp;"/"&amp;Tableau6[[#Headers],[2024]],tabSuiviConso[Jour Mois Année],0)</f>
        <v>#N/A</v>
      </c>
      <c r="R256" s="35" t="str">
        <f>IF(ISNA(Tableau6[[#This Row],[Position 2024]]),"",INDEX(tabSuiviConso[HP + HC
cumul],Tableau6[[#This Row],[Position 2024]],1))</f>
        <v/>
      </c>
      <c r="S256" s="56" t="e">
        <f>IF(ISNA(Tableau6[[#This Row],[Position 2024]]),Tableau6[[#This Row],[Position 2024]],Tableau6[[#This Row],[2024]]-R$2)</f>
        <v>#N/A</v>
      </c>
      <c r="T256" s="35" t="e">
        <f>Tableau6[[#This Row],[Cumul 2024]]-Tableau6[[#This Row],[Cumul 2023]]</f>
        <v>#N/A</v>
      </c>
      <c r="U256" s="36" t="e">
        <f>Tableau6[[#This Row],[Ecart 2023 2024]]/Tableau6[[#This Row],[Cumul 2023]]</f>
        <v>#N/A</v>
      </c>
    </row>
    <row r="257" spans="1:21" x14ac:dyDescent="0.2">
      <c r="A257" s="35">
        <v>9</v>
      </c>
      <c r="B257" s="35">
        <v>11</v>
      </c>
      <c r="C257" s="35" t="str">
        <f>Tableau6[Jour]&amp;"/"&amp;Tableau6[Mois]</f>
        <v>11/9</v>
      </c>
      <c r="D257" s="35" t="e">
        <f>MATCH(Tableau6[Jours Mois]&amp;"/"&amp;Tableau6[[#Headers],[2021]],tabSuiviConso[Jour Mois Année],0)</f>
        <v>#N/A</v>
      </c>
      <c r="E257" s="35" t="str">
        <f>IF(ISNA(Tableau6[[#This Row],[Position 2021]]),"",INDEX(tabSuiviConso[HP + HC
cumul],Tableau6[[#This Row],[Position 2021]],1))</f>
        <v/>
      </c>
      <c r="F257" s="56" t="e">
        <f>IF(ISNA(Tableau6[[#This Row],[Position 2021]]),Tableau6[[#This Row],[Position 2021]],Tableau6[[#This Row],[2021]]-E$2)</f>
        <v>#N/A</v>
      </c>
      <c r="G257" s="35" t="e">
        <f>MATCH(Tableau6[Jours Mois]&amp;"/"&amp;Tableau6[[#Headers],[2022]],tabSuiviConso[Jour Mois Année],0)</f>
        <v>#N/A</v>
      </c>
      <c r="H257" s="35" t="str">
        <f>IF(ISNA(Tableau6[[#This Row],[Position 2022]]),"",INDEX(tabSuiviConso[HP + HC
cumul],Tableau6[[#This Row],[Position 2022]],1))</f>
        <v/>
      </c>
      <c r="I257" s="56" t="e">
        <f>IF(ISNA(Tableau6[[#This Row],[Position 2022]]),Tableau6[[#This Row],[Position 2022]],Tableau6[[#This Row],[2022]]-H$2)</f>
        <v>#N/A</v>
      </c>
      <c r="J257" s="35" t="e">
        <f>MATCH(Tableau6[Jours Mois]&amp;"/"&amp;Tableau6[[#Headers],[2023]],tabSuiviConso[Jour Mois Année],0)</f>
        <v>#N/A</v>
      </c>
      <c r="K257" s="35" t="e">
        <f>Tableau6[[#This Row],[Cumul 2022]]-Tableau6[[#This Row],[Cumul 2021]]</f>
        <v>#N/A</v>
      </c>
      <c r="L257" s="37" t="e">
        <f>Tableau6[[#This Row],[Ecart 2021 2022]]/Tableau6[[#This Row],[Cumul 2021]]</f>
        <v>#N/A</v>
      </c>
      <c r="M257" s="35" t="str">
        <f>IF(ISNA(Tableau6[[#This Row],[Position 2023]]),"",INDEX(tabSuiviConso[HP + HC
cumul],Tableau6[[#This Row],[Position 2023]],1))</f>
        <v/>
      </c>
      <c r="N257" s="56" t="e">
        <f>IF(ISNA(Tableau6[[#This Row],[Position 2023]]),Tableau6[[#This Row],[Position 2023]],Tableau6[[#This Row],[2023]]-M$2)</f>
        <v>#N/A</v>
      </c>
      <c r="O257" s="35" t="e">
        <f>Tableau6[[#This Row],[Cumul 2023]]-Tableau6[[#This Row],[Cumul 2022]]</f>
        <v>#N/A</v>
      </c>
      <c r="P257" s="37" t="e">
        <f>Tableau6[[#This Row],[Ecart 2022 2023]]/Tableau6[[#This Row],[Cumul 2022]]</f>
        <v>#N/A</v>
      </c>
      <c r="Q257" s="35" t="e">
        <f>MATCH(Tableau6[Jours Mois]&amp;"/"&amp;Tableau6[[#Headers],[2024]],tabSuiviConso[Jour Mois Année],0)</f>
        <v>#N/A</v>
      </c>
      <c r="R257" s="35" t="str">
        <f>IF(ISNA(Tableau6[[#This Row],[Position 2024]]),"",INDEX(tabSuiviConso[HP + HC
cumul],Tableau6[[#This Row],[Position 2024]],1))</f>
        <v/>
      </c>
      <c r="S257" s="56" t="e">
        <f>IF(ISNA(Tableau6[[#This Row],[Position 2024]]),Tableau6[[#This Row],[Position 2024]],Tableau6[[#This Row],[2024]]-R$2)</f>
        <v>#N/A</v>
      </c>
      <c r="T257" s="35" t="e">
        <f>Tableau6[[#This Row],[Cumul 2024]]-Tableau6[[#This Row],[Cumul 2023]]</f>
        <v>#N/A</v>
      </c>
      <c r="U257" s="36" t="e">
        <f>Tableau6[[#This Row],[Ecart 2023 2024]]/Tableau6[[#This Row],[Cumul 2023]]</f>
        <v>#N/A</v>
      </c>
    </row>
    <row r="258" spans="1:21" x14ac:dyDescent="0.2">
      <c r="A258" s="35">
        <v>9</v>
      </c>
      <c r="B258" s="35">
        <v>12</v>
      </c>
      <c r="C258" s="35" t="str">
        <f>Tableau6[Jour]&amp;"/"&amp;Tableau6[Mois]</f>
        <v>12/9</v>
      </c>
      <c r="D258" s="35" t="e">
        <f>MATCH(Tableau6[Jours Mois]&amp;"/"&amp;Tableau6[[#Headers],[2021]],tabSuiviConso[Jour Mois Année],0)</f>
        <v>#N/A</v>
      </c>
      <c r="E258" s="35" t="str">
        <f>IF(ISNA(Tableau6[[#This Row],[Position 2021]]),"",INDEX(tabSuiviConso[HP + HC
cumul],Tableau6[[#This Row],[Position 2021]],1))</f>
        <v/>
      </c>
      <c r="F258" s="56" t="e">
        <f>IF(ISNA(Tableau6[[#This Row],[Position 2021]]),Tableau6[[#This Row],[Position 2021]],Tableau6[[#This Row],[2021]]-E$2)</f>
        <v>#N/A</v>
      </c>
      <c r="G258" s="35" t="e">
        <f>MATCH(Tableau6[Jours Mois]&amp;"/"&amp;Tableau6[[#Headers],[2022]],tabSuiviConso[Jour Mois Année],0)</f>
        <v>#N/A</v>
      </c>
      <c r="H258" s="35" t="str">
        <f>IF(ISNA(Tableau6[[#This Row],[Position 2022]]),"",INDEX(tabSuiviConso[HP + HC
cumul],Tableau6[[#This Row],[Position 2022]],1))</f>
        <v/>
      </c>
      <c r="I258" s="56" t="e">
        <f>IF(ISNA(Tableau6[[#This Row],[Position 2022]]),Tableau6[[#This Row],[Position 2022]],Tableau6[[#This Row],[2022]]-H$2)</f>
        <v>#N/A</v>
      </c>
      <c r="J258" s="35" t="e">
        <f>MATCH(Tableau6[Jours Mois]&amp;"/"&amp;Tableau6[[#Headers],[2023]],tabSuiviConso[Jour Mois Année],0)</f>
        <v>#N/A</v>
      </c>
      <c r="K258" s="35" t="e">
        <f>Tableau6[[#This Row],[Cumul 2022]]-Tableau6[[#This Row],[Cumul 2021]]</f>
        <v>#N/A</v>
      </c>
      <c r="L258" s="37" t="e">
        <f>Tableau6[[#This Row],[Ecart 2021 2022]]/Tableau6[[#This Row],[Cumul 2021]]</f>
        <v>#N/A</v>
      </c>
      <c r="M258" s="35" t="str">
        <f>IF(ISNA(Tableau6[[#This Row],[Position 2023]]),"",INDEX(tabSuiviConso[HP + HC
cumul],Tableau6[[#This Row],[Position 2023]],1))</f>
        <v/>
      </c>
      <c r="N258" s="56" t="e">
        <f>IF(ISNA(Tableau6[[#This Row],[Position 2023]]),Tableau6[[#This Row],[Position 2023]],Tableau6[[#This Row],[2023]]-M$2)</f>
        <v>#N/A</v>
      </c>
      <c r="O258" s="35" t="e">
        <f>Tableau6[[#This Row],[Cumul 2023]]-Tableau6[[#This Row],[Cumul 2022]]</f>
        <v>#N/A</v>
      </c>
      <c r="P258" s="37" t="e">
        <f>Tableau6[[#This Row],[Ecart 2022 2023]]/Tableau6[[#This Row],[Cumul 2022]]</f>
        <v>#N/A</v>
      </c>
      <c r="Q258" s="35" t="e">
        <f>MATCH(Tableau6[Jours Mois]&amp;"/"&amp;Tableau6[[#Headers],[2024]],tabSuiviConso[Jour Mois Année],0)</f>
        <v>#N/A</v>
      </c>
      <c r="R258" s="35" t="str">
        <f>IF(ISNA(Tableau6[[#This Row],[Position 2024]]),"",INDEX(tabSuiviConso[HP + HC
cumul],Tableau6[[#This Row],[Position 2024]],1))</f>
        <v/>
      </c>
      <c r="S258" s="56" t="e">
        <f>IF(ISNA(Tableau6[[#This Row],[Position 2024]]),Tableau6[[#This Row],[Position 2024]],Tableau6[[#This Row],[2024]]-R$2)</f>
        <v>#N/A</v>
      </c>
      <c r="T258" s="35" t="e">
        <f>Tableau6[[#This Row],[Cumul 2024]]-Tableau6[[#This Row],[Cumul 2023]]</f>
        <v>#N/A</v>
      </c>
      <c r="U258" s="36" t="e">
        <f>Tableau6[[#This Row],[Ecart 2023 2024]]/Tableau6[[#This Row],[Cumul 2023]]</f>
        <v>#N/A</v>
      </c>
    </row>
    <row r="259" spans="1:21" x14ac:dyDescent="0.2">
      <c r="A259" s="35">
        <v>9</v>
      </c>
      <c r="B259" s="35">
        <v>13</v>
      </c>
      <c r="C259" s="35" t="str">
        <f>Tableau6[Jour]&amp;"/"&amp;Tableau6[Mois]</f>
        <v>13/9</v>
      </c>
      <c r="D259" s="35" t="e">
        <f>MATCH(Tableau6[Jours Mois]&amp;"/"&amp;Tableau6[[#Headers],[2021]],tabSuiviConso[Jour Mois Année],0)</f>
        <v>#N/A</v>
      </c>
      <c r="E259" s="35" t="str">
        <f>IF(ISNA(Tableau6[[#This Row],[Position 2021]]),"",INDEX(tabSuiviConso[HP + HC
cumul],Tableau6[[#This Row],[Position 2021]],1))</f>
        <v/>
      </c>
      <c r="F259" s="56" t="e">
        <f>IF(ISNA(Tableau6[[#This Row],[Position 2021]]),Tableau6[[#This Row],[Position 2021]],Tableau6[[#This Row],[2021]]-E$2)</f>
        <v>#N/A</v>
      </c>
      <c r="G259" s="35" t="e">
        <f>MATCH(Tableau6[Jours Mois]&amp;"/"&amp;Tableau6[[#Headers],[2022]],tabSuiviConso[Jour Mois Année],0)</f>
        <v>#N/A</v>
      </c>
      <c r="H259" s="35" t="str">
        <f>IF(ISNA(Tableau6[[#This Row],[Position 2022]]),"",INDEX(tabSuiviConso[HP + HC
cumul],Tableau6[[#This Row],[Position 2022]],1))</f>
        <v/>
      </c>
      <c r="I259" s="56" t="e">
        <f>IF(ISNA(Tableau6[[#This Row],[Position 2022]]),Tableau6[[#This Row],[Position 2022]],Tableau6[[#This Row],[2022]]-H$2)</f>
        <v>#N/A</v>
      </c>
      <c r="J259" s="35" t="e">
        <f>MATCH(Tableau6[Jours Mois]&amp;"/"&amp;Tableau6[[#Headers],[2023]],tabSuiviConso[Jour Mois Année],0)</f>
        <v>#N/A</v>
      </c>
      <c r="K259" s="35" t="e">
        <f>Tableau6[[#This Row],[Cumul 2022]]-Tableau6[[#This Row],[Cumul 2021]]</f>
        <v>#N/A</v>
      </c>
      <c r="L259" s="37" t="e">
        <f>Tableau6[[#This Row],[Ecart 2021 2022]]/Tableau6[[#This Row],[Cumul 2021]]</f>
        <v>#N/A</v>
      </c>
      <c r="M259" s="35" t="str">
        <f>IF(ISNA(Tableau6[[#This Row],[Position 2023]]),"",INDEX(tabSuiviConso[HP + HC
cumul],Tableau6[[#This Row],[Position 2023]],1))</f>
        <v/>
      </c>
      <c r="N259" s="56" t="e">
        <f>IF(ISNA(Tableau6[[#This Row],[Position 2023]]),Tableau6[[#This Row],[Position 2023]],Tableau6[[#This Row],[2023]]-M$2)</f>
        <v>#N/A</v>
      </c>
      <c r="O259" s="35" t="e">
        <f>Tableau6[[#This Row],[Cumul 2023]]-Tableau6[[#This Row],[Cumul 2022]]</f>
        <v>#N/A</v>
      </c>
      <c r="P259" s="37" t="e">
        <f>Tableau6[[#This Row],[Ecart 2022 2023]]/Tableau6[[#This Row],[Cumul 2022]]</f>
        <v>#N/A</v>
      </c>
      <c r="Q259" s="35" t="e">
        <f>MATCH(Tableau6[Jours Mois]&amp;"/"&amp;Tableau6[[#Headers],[2024]],tabSuiviConso[Jour Mois Année],0)</f>
        <v>#N/A</v>
      </c>
      <c r="R259" s="35" t="str">
        <f>IF(ISNA(Tableau6[[#This Row],[Position 2024]]),"",INDEX(tabSuiviConso[HP + HC
cumul],Tableau6[[#This Row],[Position 2024]],1))</f>
        <v/>
      </c>
      <c r="S259" s="56" t="e">
        <f>IF(ISNA(Tableau6[[#This Row],[Position 2024]]),Tableau6[[#This Row],[Position 2024]],Tableau6[[#This Row],[2024]]-R$2)</f>
        <v>#N/A</v>
      </c>
      <c r="T259" s="35" t="e">
        <f>Tableau6[[#This Row],[Cumul 2024]]-Tableau6[[#This Row],[Cumul 2023]]</f>
        <v>#N/A</v>
      </c>
      <c r="U259" s="36" t="e">
        <f>Tableau6[[#This Row],[Ecart 2023 2024]]/Tableau6[[#This Row],[Cumul 2023]]</f>
        <v>#N/A</v>
      </c>
    </row>
    <row r="260" spans="1:21" x14ac:dyDescent="0.2">
      <c r="A260" s="35">
        <v>9</v>
      </c>
      <c r="B260" s="35">
        <v>14</v>
      </c>
      <c r="C260" s="35" t="str">
        <f>Tableau6[Jour]&amp;"/"&amp;Tableau6[Mois]</f>
        <v>14/9</v>
      </c>
      <c r="D260" s="35" t="e">
        <f>MATCH(Tableau6[Jours Mois]&amp;"/"&amp;Tableau6[[#Headers],[2021]],tabSuiviConso[Jour Mois Année],0)</f>
        <v>#N/A</v>
      </c>
      <c r="E260" s="35" t="str">
        <f>IF(ISNA(Tableau6[[#This Row],[Position 2021]]),"",INDEX(tabSuiviConso[HP + HC
cumul],Tableau6[[#This Row],[Position 2021]],1))</f>
        <v/>
      </c>
      <c r="F260" s="56" t="e">
        <f>IF(ISNA(Tableau6[[#This Row],[Position 2021]]),Tableau6[[#This Row],[Position 2021]],Tableau6[[#This Row],[2021]]-E$2)</f>
        <v>#N/A</v>
      </c>
      <c r="G260" s="35" t="e">
        <f>MATCH(Tableau6[Jours Mois]&amp;"/"&amp;Tableau6[[#Headers],[2022]],tabSuiviConso[Jour Mois Année],0)</f>
        <v>#N/A</v>
      </c>
      <c r="H260" s="35" t="str">
        <f>IF(ISNA(Tableau6[[#This Row],[Position 2022]]),"",INDEX(tabSuiviConso[HP + HC
cumul],Tableau6[[#This Row],[Position 2022]],1))</f>
        <v/>
      </c>
      <c r="I260" s="56" t="e">
        <f>IF(ISNA(Tableau6[[#This Row],[Position 2022]]),Tableau6[[#This Row],[Position 2022]],Tableau6[[#This Row],[2022]]-H$2)</f>
        <v>#N/A</v>
      </c>
      <c r="J260" s="35" t="e">
        <f>MATCH(Tableau6[Jours Mois]&amp;"/"&amp;Tableau6[[#Headers],[2023]],tabSuiviConso[Jour Mois Année],0)</f>
        <v>#N/A</v>
      </c>
      <c r="K260" s="35" t="e">
        <f>Tableau6[[#This Row],[Cumul 2022]]-Tableau6[[#This Row],[Cumul 2021]]</f>
        <v>#N/A</v>
      </c>
      <c r="L260" s="37" t="e">
        <f>Tableau6[[#This Row],[Ecart 2021 2022]]/Tableau6[[#This Row],[Cumul 2021]]</f>
        <v>#N/A</v>
      </c>
      <c r="M260" s="35" t="str">
        <f>IF(ISNA(Tableau6[[#This Row],[Position 2023]]),"",INDEX(tabSuiviConso[HP + HC
cumul],Tableau6[[#This Row],[Position 2023]],1))</f>
        <v/>
      </c>
      <c r="N260" s="56" t="e">
        <f>IF(ISNA(Tableau6[[#This Row],[Position 2023]]),Tableau6[[#This Row],[Position 2023]],Tableau6[[#This Row],[2023]]-M$2)</f>
        <v>#N/A</v>
      </c>
      <c r="O260" s="35" t="e">
        <f>Tableau6[[#This Row],[Cumul 2023]]-Tableau6[[#This Row],[Cumul 2022]]</f>
        <v>#N/A</v>
      </c>
      <c r="P260" s="37" t="e">
        <f>Tableau6[[#This Row],[Ecart 2022 2023]]/Tableau6[[#This Row],[Cumul 2022]]</f>
        <v>#N/A</v>
      </c>
      <c r="Q260" s="35" t="e">
        <f>MATCH(Tableau6[Jours Mois]&amp;"/"&amp;Tableau6[[#Headers],[2024]],tabSuiviConso[Jour Mois Année],0)</f>
        <v>#N/A</v>
      </c>
      <c r="R260" s="35" t="str">
        <f>IF(ISNA(Tableau6[[#This Row],[Position 2024]]),"",INDEX(tabSuiviConso[HP + HC
cumul],Tableau6[[#This Row],[Position 2024]],1))</f>
        <v/>
      </c>
      <c r="S260" s="56" t="e">
        <f>IF(ISNA(Tableau6[[#This Row],[Position 2024]]),Tableau6[[#This Row],[Position 2024]],Tableau6[[#This Row],[2024]]-R$2)</f>
        <v>#N/A</v>
      </c>
      <c r="T260" s="35" t="e">
        <f>Tableau6[[#This Row],[Cumul 2024]]-Tableau6[[#This Row],[Cumul 2023]]</f>
        <v>#N/A</v>
      </c>
      <c r="U260" s="36" t="e">
        <f>Tableau6[[#This Row],[Ecart 2023 2024]]/Tableau6[[#This Row],[Cumul 2023]]</f>
        <v>#N/A</v>
      </c>
    </row>
    <row r="261" spans="1:21" x14ac:dyDescent="0.2">
      <c r="A261" s="35">
        <v>9</v>
      </c>
      <c r="B261" s="35">
        <v>15</v>
      </c>
      <c r="C261" s="35" t="str">
        <f>Tableau6[Jour]&amp;"/"&amp;Tableau6[Mois]</f>
        <v>15/9</v>
      </c>
      <c r="D261" s="35" t="e">
        <f>MATCH(Tableau6[Jours Mois]&amp;"/"&amp;Tableau6[[#Headers],[2021]],tabSuiviConso[Jour Mois Année],0)</f>
        <v>#N/A</v>
      </c>
      <c r="E261" s="35" t="str">
        <f>IF(ISNA(Tableau6[[#This Row],[Position 2021]]),"",INDEX(tabSuiviConso[HP + HC
cumul],Tableau6[[#This Row],[Position 2021]],1))</f>
        <v/>
      </c>
      <c r="F261" s="56" t="e">
        <f>IF(ISNA(Tableau6[[#This Row],[Position 2021]]),Tableau6[[#This Row],[Position 2021]],Tableau6[[#This Row],[2021]]-E$2)</f>
        <v>#N/A</v>
      </c>
      <c r="G261" s="35" t="e">
        <f>MATCH(Tableau6[Jours Mois]&amp;"/"&amp;Tableau6[[#Headers],[2022]],tabSuiviConso[Jour Mois Année],0)</f>
        <v>#N/A</v>
      </c>
      <c r="H261" s="35" t="str">
        <f>IF(ISNA(Tableau6[[#This Row],[Position 2022]]),"",INDEX(tabSuiviConso[HP + HC
cumul],Tableau6[[#This Row],[Position 2022]],1))</f>
        <v/>
      </c>
      <c r="I261" s="56" t="e">
        <f>IF(ISNA(Tableau6[[#This Row],[Position 2022]]),Tableau6[[#This Row],[Position 2022]],Tableau6[[#This Row],[2022]]-H$2)</f>
        <v>#N/A</v>
      </c>
      <c r="J261" s="35" t="e">
        <f>MATCH(Tableau6[Jours Mois]&amp;"/"&amp;Tableau6[[#Headers],[2023]],tabSuiviConso[Jour Mois Année],0)</f>
        <v>#N/A</v>
      </c>
      <c r="K261" s="35" t="e">
        <f>Tableau6[[#This Row],[Cumul 2022]]-Tableau6[[#This Row],[Cumul 2021]]</f>
        <v>#N/A</v>
      </c>
      <c r="L261" s="37" t="e">
        <f>Tableau6[[#This Row],[Ecart 2021 2022]]/Tableau6[[#This Row],[Cumul 2021]]</f>
        <v>#N/A</v>
      </c>
      <c r="M261" s="35" t="str">
        <f>IF(ISNA(Tableau6[[#This Row],[Position 2023]]),"",INDEX(tabSuiviConso[HP + HC
cumul],Tableau6[[#This Row],[Position 2023]],1))</f>
        <v/>
      </c>
      <c r="N261" s="56" t="e">
        <f>IF(ISNA(Tableau6[[#This Row],[Position 2023]]),Tableau6[[#This Row],[Position 2023]],Tableau6[[#This Row],[2023]]-M$2)</f>
        <v>#N/A</v>
      </c>
      <c r="O261" s="35" t="e">
        <f>Tableau6[[#This Row],[Cumul 2023]]-Tableau6[[#This Row],[Cumul 2022]]</f>
        <v>#N/A</v>
      </c>
      <c r="P261" s="37" t="e">
        <f>Tableau6[[#This Row],[Ecart 2022 2023]]/Tableau6[[#This Row],[Cumul 2022]]</f>
        <v>#N/A</v>
      </c>
      <c r="Q261" s="35" t="e">
        <f>MATCH(Tableau6[Jours Mois]&amp;"/"&amp;Tableau6[[#Headers],[2024]],tabSuiviConso[Jour Mois Année],0)</f>
        <v>#N/A</v>
      </c>
      <c r="R261" s="35" t="str">
        <f>IF(ISNA(Tableau6[[#This Row],[Position 2024]]),"",INDEX(tabSuiviConso[HP + HC
cumul],Tableau6[[#This Row],[Position 2024]],1))</f>
        <v/>
      </c>
      <c r="S261" s="56" t="e">
        <f>IF(ISNA(Tableau6[[#This Row],[Position 2024]]),Tableau6[[#This Row],[Position 2024]],Tableau6[[#This Row],[2024]]-R$2)</f>
        <v>#N/A</v>
      </c>
      <c r="T261" s="35" t="e">
        <f>Tableau6[[#This Row],[Cumul 2024]]-Tableau6[[#This Row],[Cumul 2023]]</f>
        <v>#N/A</v>
      </c>
      <c r="U261" s="36" t="e">
        <f>Tableau6[[#This Row],[Ecart 2023 2024]]/Tableau6[[#This Row],[Cumul 2023]]</f>
        <v>#N/A</v>
      </c>
    </row>
    <row r="262" spans="1:21" x14ac:dyDescent="0.2">
      <c r="A262" s="35">
        <v>9</v>
      </c>
      <c r="B262" s="35">
        <v>16</v>
      </c>
      <c r="C262" s="35" t="str">
        <f>Tableau6[Jour]&amp;"/"&amp;Tableau6[Mois]</f>
        <v>16/9</v>
      </c>
      <c r="D262" s="35" t="e">
        <f>MATCH(Tableau6[Jours Mois]&amp;"/"&amp;Tableau6[[#Headers],[2021]],tabSuiviConso[Jour Mois Année],0)</f>
        <v>#N/A</v>
      </c>
      <c r="E262" s="35" t="str">
        <f>IF(ISNA(Tableau6[[#This Row],[Position 2021]]),"",INDEX(tabSuiviConso[HP + HC
cumul],Tableau6[[#This Row],[Position 2021]],1))</f>
        <v/>
      </c>
      <c r="F262" s="56" t="e">
        <f>IF(ISNA(Tableau6[[#This Row],[Position 2021]]),Tableau6[[#This Row],[Position 2021]],Tableau6[[#This Row],[2021]]-E$2)</f>
        <v>#N/A</v>
      </c>
      <c r="G262" s="35" t="e">
        <f>MATCH(Tableau6[Jours Mois]&amp;"/"&amp;Tableau6[[#Headers],[2022]],tabSuiviConso[Jour Mois Année],0)</f>
        <v>#N/A</v>
      </c>
      <c r="H262" s="35" t="str">
        <f>IF(ISNA(Tableau6[[#This Row],[Position 2022]]),"",INDEX(tabSuiviConso[HP + HC
cumul],Tableau6[[#This Row],[Position 2022]],1))</f>
        <v/>
      </c>
      <c r="I262" s="56" t="e">
        <f>IF(ISNA(Tableau6[[#This Row],[Position 2022]]),Tableau6[[#This Row],[Position 2022]],Tableau6[[#This Row],[2022]]-H$2)</f>
        <v>#N/A</v>
      </c>
      <c r="J262" s="35" t="e">
        <f>MATCH(Tableau6[Jours Mois]&amp;"/"&amp;Tableau6[[#Headers],[2023]],tabSuiviConso[Jour Mois Année],0)</f>
        <v>#N/A</v>
      </c>
      <c r="K262" s="35" t="e">
        <f>Tableau6[[#This Row],[Cumul 2022]]-Tableau6[[#This Row],[Cumul 2021]]</f>
        <v>#N/A</v>
      </c>
      <c r="L262" s="37" t="e">
        <f>Tableau6[[#This Row],[Ecart 2021 2022]]/Tableau6[[#This Row],[Cumul 2021]]</f>
        <v>#N/A</v>
      </c>
      <c r="M262" s="35" t="str">
        <f>IF(ISNA(Tableau6[[#This Row],[Position 2023]]),"",INDEX(tabSuiviConso[HP + HC
cumul],Tableau6[[#This Row],[Position 2023]],1))</f>
        <v/>
      </c>
      <c r="N262" s="56" t="e">
        <f>IF(ISNA(Tableau6[[#This Row],[Position 2023]]),Tableau6[[#This Row],[Position 2023]],Tableau6[[#This Row],[2023]]-M$2)</f>
        <v>#N/A</v>
      </c>
      <c r="O262" s="35" t="e">
        <f>Tableau6[[#This Row],[Cumul 2023]]-Tableau6[[#This Row],[Cumul 2022]]</f>
        <v>#N/A</v>
      </c>
      <c r="P262" s="37" t="e">
        <f>Tableau6[[#This Row],[Ecart 2022 2023]]/Tableau6[[#This Row],[Cumul 2022]]</f>
        <v>#N/A</v>
      </c>
      <c r="Q262" s="35" t="e">
        <f>MATCH(Tableau6[Jours Mois]&amp;"/"&amp;Tableau6[[#Headers],[2024]],tabSuiviConso[Jour Mois Année],0)</f>
        <v>#N/A</v>
      </c>
      <c r="R262" s="35" t="str">
        <f>IF(ISNA(Tableau6[[#This Row],[Position 2024]]),"",INDEX(tabSuiviConso[HP + HC
cumul],Tableau6[[#This Row],[Position 2024]],1))</f>
        <v/>
      </c>
      <c r="S262" s="56" t="e">
        <f>IF(ISNA(Tableau6[[#This Row],[Position 2024]]),Tableau6[[#This Row],[Position 2024]],Tableau6[[#This Row],[2024]]-R$2)</f>
        <v>#N/A</v>
      </c>
      <c r="T262" s="35" t="e">
        <f>Tableau6[[#This Row],[Cumul 2024]]-Tableau6[[#This Row],[Cumul 2023]]</f>
        <v>#N/A</v>
      </c>
      <c r="U262" s="36" t="e">
        <f>Tableau6[[#This Row],[Ecart 2023 2024]]/Tableau6[[#This Row],[Cumul 2023]]</f>
        <v>#N/A</v>
      </c>
    </row>
    <row r="263" spans="1:21" x14ac:dyDescent="0.2">
      <c r="A263" s="35">
        <v>9</v>
      </c>
      <c r="B263" s="35">
        <v>17</v>
      </c>
      <c r="C263" s="35" t="str">
        <f>Tableau6[Jour]&amp;"/"&amp;Tableau6[Mois]</f>
        <v>17/9</v>
      </c>
      <c r="D263" s="35" t="e">
        <f>MATCH(Tableau6[Jours Mois]&amp;"/"&amp;Tableau6[[#Headers],[2021]],tabSuiviConso[Jour Mois Année],0)</f>
        <v>#N/A</v>
      </c>
      <c r="E263" s="35" t="str">
        <f>IF(ISNA(Tableau6[[#This Row],[Position 2021]]),"",INDEX(tabSuiviConso[HP + HC
cumul],Tableau6[[#This Row],[Position 2021]],1))</f>
        <v/>
      </c>
      <c r="F263" s="56" t="e">
        <f>IF(ISNA(Tableau6[[#This Row],[Position 2021]]),Tableau6[[#This Row],[Position 2021]],Tableau6[[#This Row],[2021]]-E$2)</f>
        <v>#N/A</v>
      </c>
      <c r="G263" s="35" t="e">
        <f>MATCH(Tableau6[Jours Mois]&amp;"/"&amp;Tableau6[[#Headers],[2022]],tabSuiviConso[Jour Mois Année],0)</f>
        <v>#N/A</v>
      </c>
      <c r="H263" s="35" t="str">
        <f>IF(ISNA(Tableau6[[#This Row],[Position 2022]]),"",INDEX(tabSuiviConso[HP + HC
cumul],Tableau6[[#This Row],[Position 2022]],1))</f>
        <v/>
      </c>
      <c r="I263" s="56" t="e">
        <f>IF(ISNA(Tableau6[[#This Row],[Position 2022]]),Tableau6[[#This Row],[Position 2022]],Tableau6[[#This Row],[2022]]-H$2)</f>
        <v>#N/A</v>
      </c>
      <c r="J263" s="35" t="e">
        <f>MATCH(Tableau6[Jours Mois]&amp;"/"&amp;Tableau6[[#Headers],[2023]],tabSuiviConso[Jour Mois Année],0)</f>
        <v>#N/A</v>
      </c>
      <c r="K263" s="35" t="e">
        <f>Tableau6[[#This Row],[Cumul 2022]]-Tableau6[[#This Row],[Cumul 2021]]</f>
        <v>#N/A</v>
      </c>
      <c r="L263" s="37" t="e">
        <f>Tableau6[[#This Row],[Ecart 2021 2022]]/Tableau6[[#This Row],[Cumul 2021]]</f>
        <v>#N/A</v>
      </c>
      <c r="M263" s="35" t="str">
        <f>IF(ISNA(Tableau6[[#This Row],[Position 2023]]),"",INDEX(tabSuiviConso[HP + HC
cumul],Tableau6[[#This Row],[Position 2023]],1))</f>
        <v/>
      </c>
      <c r="N263" s="56" t="e">
        <f>IF(ISNA(Tableau6[[#This Row],[Position 2023]]),Tableau6[[#This Row],[Position 2023]],Tableau6[[#This Row],[2023]]-M$2)</f>
        <v>#N/A</v>
      </c>
      <c r="O263" s="35" t="e">
        <f>Tableau6[[#This Row],[Cumul 2023]]-Tableau6[[#This Row],[Cumul 2022]]</f>
        <v>#N/A</v>
      </c>
      <c r="P263" s="37" t="e">
        <f>Tableau6[[#This Row],[Ecart 2022 2023]]/Tableau6[[#This Row],[Cumul 2022]]</f>
        <v>#N/A</v>
      </c>
      <c r="Q263" s="35" t="e">
        <f>MATCH(Tableau6[Jours Mois]&amp;"/"&amp;Tableau6[[#Headers],[2024]],tabSuiviConso[Jour Mois Année],0)</f>
        <v>#N/A</v>
      </c>
      <c r="R263" s="35" t="str">
        <f>IF(ISNA(Tableau6[[#This Row],[Position 2024]]),"",INDEX(tabSuiviConso[HP + HC
cumul],Tableau6[[#This Row],[Position 2024]],1))</f>
        <v/>
      </c>
      <c r="S263" s="56" t="e">
        <f>IF(ISNA(Tableau6[[#This Row],[Position 2024]]),Tableau6[[#This Row],[Position 2024]],Tableau6[[#This Row],[2024]]-R$2)</f>
        <v>#N/A</v>
      </c>
      <c r="T263" s="35" t="e">
        <f>Tableau6[[#This Row],[Cumul 2024]]-Tableau6[[#This Row],[Cumul 2023]]</f>
        <v>#N/A</v>
      </c>
      <c r="U263" s="36" t="e">
        <f>Tableau6[[#This Row],[Ecart 2023 2024]]/Tableau6[[#This Row],[Cumul 2023]]</f>
        <v>#N/A</v>
      </c>
    </row>
    <row r="264" spans="1:21" x14ac:dyDescent="0.2">
      <c r="A264" s="35">
        <v>9</v>
      </c>
      <c r="B264" s="35">
        <v>18</v>
      </c>
      <c r="C264" s="35" t="str">
        <f>Tableau6[Jour]&amp;"/"&amp;Tableau6[Mois]</f>
        <v>18/9</v>
      </c>
      <c r="D264" s="35" t="e">
        <f>MATCH(Tableau6[Jours Mois]&amp;"/"&amp;Tableau6[[#Headers],[2021]],tabSuiviConso[Jour Mois Année],0)</f>
        <v>#N/A</v>
      </c>
      <c r="E264" s="35" t="str">
        <f>IF(ISNA(Tableau6[[#This Row],[Position 2021]]),"",INDEX(tabSuiviConso[HP + HC
cumul],Tableau6[[#This Row],[Position 2021]],1))</f>
        <v/>
      </c>
      <c r="F264" s="56" t="e">
        <f>IF(ISNA(Tableau6[[#This Row],[Position 2021]]),Tableau6[[#This Row],[Position 2021]],Tableau6[[#This Row],[2021]]-E$2)</f>
        <v>#N/A</v>
      </c>
      <c r="G264" s="35" t="e">
        <f>MATCH(Tableau6[Jours Mois]&amp;"/"&amp;Tableau6[[#Headers],[2022]],tabSuiviConso[Jour Mois Année],0)</f>
        <v>#N/A</v>
      </c>
      <c r="H264" s="35" t="str">
        <f>IF(ISNA(Tableau6[[#This Row],[Position 2022]]),"",INDEX(tabSuiviConso[HP + HC
cumul],Tableau6[[#This Row],[Position 2022]],1))</f>
        <v/>
      </c>
      <c r="I264" s="56" t="e">
        <f>IF(ISNA(Tableau6[[#This Row],[Position 2022]]),Tableau6[[#This Row],[Position 2022]],Tableau6[[#This Row],[2022]]-H$2)</f>
        <v>#N/A</v>
      </c>
      <c r="J264" s="35" t="e">
        <f>MATCH(Tableau6[Jours Mois]&amp;"/"&amp;Tableau6[[#Headers],[2023]],tabSuiviConso[Jour Mois Année],0)</f>
        <v>#N/A</v>
      </c>
      <c r="K264" s="35" t="e">
        <f>Tableau6[[#This Row],[Cumul 2022]]-Tableau6[[#This Row],[Cumul 2021]]</f>
        <v>#N/A</v>
      </c>
      <c r="L264" s="37" t="e">
        <f>Tableau6[[#This Row],[Ecart 2021 2022]]/Tableau6[[#This Row],[Cumul 2021]]</f>
        <v>#N/A</v>
      </c>
      <c r="M264" s="35" t="str">
        <f>IF(ISNA(Tableau6[[#This Row],[Position 2023]]),"",INDEX(tabSuiviConso[HP + HC
cumul],Tableau6[[#This Row],[Position 2023]],1))</f>
        <v/>
      </c>
      <c r="N264" s="56" t="e">
        <f>IF(ISNA(Tableau6[[#This Row],[Position 2023]]),Tableau6[[#This Row],[Position 2023]],Tableau6[[#This Row],[2023]]-M$2)</f>
        <v>#N/A</v>
      </c>
      <c r="O264" s="35" t="e">
        <f>Tableau6[[#This Row],[Cumul 2023]]-Tableau6[[#This Row],[Cumul 2022]]</f>
        <v>#N/A</v>
      </c>
      <c r="P264" s="37" t="e">
        <f>Tableau6[[#This Row],[Ecart 2022 2023]]/Tableau6[[#This Row],[Cumul 2022]]</f>
        <v>#N/A</v>
      </c>
      <c r="Q264" s="35" t="e">
        <f>MATCH(Tableau6[Jours Mois]&amp;"/"&amp;Tableau6[[#Headers],[2024]],tabSuiviConso[Jour Mois Année],0)</f>
        <v>#N/A</v>
      </c>
      <c r="R264" s="35" t="str">
        <f>IF(ISNA(Tableau6[[#This Row],[Position 2024]]),"",INDEX(tabSuiviConso[HP + HC
cumul],Tableau6[[#This Row],[Position 2024]],1))</f>
        <v/>
      </c>
      <c r="S264" s="56" t="e">
        <f>IF(ISNA(Tableau6[[#This Row],[Position 2024]]),Tableau6[[#This Row],[Position 2024]],Tableau6[[#This Row],[2024]]-R$2)</f>
        <v>#N/A</v>
      </c>
      <c r="T264" s="35" t="e">
        <f>Tableau6[[#This Row],[Cumul 2024]]-Tableau6[[#This Row],[Cumul 2023]]</f>
        <v>#N/A</v>
      </c>
      <c r="U264" s="36" t="e">
        <f>Tableau6[[#This Row],[Ecart 2023 2024]]/Tableau6[[#This Row],[Cumul 2023]]</f>
        <v>#N/A</v>
      </c>
    </row>
    <row r="265" spans="1:21" x14ac:dyDescent="0.2">
      <c r="A265" s="35">
        <v>9</v>
      </c>
      <c r="B265" s="35">
        <v>19</v>
      </c>
      <c r="C265" s="35" t="str">
        <f>Tableau6[Jour]&amp;"/"&amp;Tableau6[Mois]</f>
        <v>19/9</v>
      </c>
      <c r="D265" s="35" t="e">
        <f>MATCH(Tableau6[Jours Mois]&amp;"/"&amp;Tableau6[[#Headers],[2021]],tabSuiviConso[Jour Mois Année],0)</f>
        <v>#N/A</v>
      </c>
      <c r="E265" s="35" t="str">
        <f>IF(ISNA(Tableau6[[#This Row],[Position 2021]]),"",INDEX(tabSuiviConso[HP + HC
cumul],Tableau6[[#This Row],[Position 2021]],1))</f>
        <v/>
      </c>
      <c r="F265" s="56" t="e">
        <f>IF(ISNA(Tableau6[[#This Row],[Position 2021]]),Tableau6[[#This Row],[Position 2021]],Tableau6[[#This Row],[2021]]-E$2)</f>
        <v>#N/A</v>
      </c>
      <c r="G265" s="35" t="e">
        <f>MATCH(Tableau6[Jours Mois]&amp;"/"&amp;Tableau6[[#Headers],[2022]],tabSuiviConso[Jour Mois Année],0)</f>
        <v>#N/A</v>
      </c>
      <c r="H265" s="35" t="str">
        <f>IF(ISNA(Tableau6[[#This Row],[Position 2022]]),"",INDEX(tabSuiviConso[HP + HC
cumul],Tableau6[[#This Row],[Position 2022]],1))</f>
        <v/>
      </c>
      <c r="I265" s="56" t="e">
        <f>IF(ISNA(Tableau6[[#This Row],[Position 2022]]),Tableau6[[#This Row],[Position 2022]],Tableau6[[#This Row],[2022]]-H$2)</f>
        <v>#N/A</v>
      </c>
      <c r="J265" s="35" t="e">
        <f>MATCH(Tableau6[Jours Mois]&amp;"/"&amp;Tableau6[[#Headers],[2023]],tabSuiviConso[Jour Mois Année],0)</f>
        <v>#N/A</v>
      </c>
      <c r="K265" s="35" t="e">
        <f>Tableau6[[#This Row],[Cumul 2022]]-Tableau6[[#This Row],[Cumul 2021]]</f>
        <v>#N/A</v>
      </c>
      <c r="L265" s="37" t="e">
        <f>Tableau6[[#This Row],[Ecart 2021 2022]]/Tableau6[[#This Row],[Cumul 2021]]</f>
        <v>#N/A</v>
      </c>
      <c r="M265" s="35" t="str">
        <f>IF(ISNA(Tableau6[[#This Row],[Position 2023]]),"",INDEX(tabSuiviConso[HP + HC
cumul],Tableau6[[#This Row],[Position 2023]],1))</f>
        <v/>
      </c>
      <c r="N265" s="56" t="e">
        <f>IF(ISNA(Tableau6[[#This Row],[Position 2023]]),Tableau6[[#This Row],[Position 2023]],Tableau6[[#This Row],[2023]]-M$2)</f>
        <v>#N/A</v>
      </c>
      <c r="O265" s="35" t="e">
        <f>Tableau6[[#This Row],[Cumul 2023]]-Tableau6[[#This Row],[Cumul 2022]]</f>
        <v>#N/A</v>
      </c>
      <c r="P265" s="37" t="e">
        <f>Tableau6[[#This Row],[Ecart 2022 2023]]/Tableau6[[#This Row],[Cumul 2022]]</f>
        <v>#N/A</v>
      </c>
      <c r="Q265" s="35" t="e">
        <f>MATCH(Tableau6[Jours Mois]&amp;"/"&amp;Tableau6[[#Headers],[2024]],tabSuiviConso[Jour Mois Année],0)</f>
        <v>#N/A</v>
      </c>
      <c r="R265" s="35" t="str">
        <f>IF(ISNA(Tableau6[[#This Row],[Position 2024]]),"",INDEX(tabSuiviConso[HP + HC
cumul],Tableau6[[#This Row],[Position 2024]],1))</f>
        <v/>
      </c>
      <c r="S265" s="56" t="e">
        <f>IF(ISNA(Tableau6[[#This Row],[Position 2024]]),Tableau6[[#This Row],[Position 2024]],Tableau6[[#This Row],[2024]]-R$2)</f>
        <v>#N/A</v>
      </c>
      <c r="T265" s="35" t="e">
        <f>Tableau6[[#This Row],[Cumul 2024]]-Tableau6[[#This Row],[Cumul 2023]]</f>
        <v>#N/A</v>
      </c>
      <c r="U265" s="36" t="e">
        <f>Tableau6[[#This Row],[Ecart 2023 2024]]/Tableau6[[#This Row],[Cumul 2023]]</f>
        <v>#N/A</v>
      </c>
    </row>
    <row r="266" spans="1:21" x14ac:dyDescent="0.2">
      <c r="A266" s="35">
        <v>9</v>
      </c>
      <c r="B266" s="35">
        <v>20</v>
      </c>
      <c r="C266" s="35" t="str">
        <f>Tableau6[Jour]&amp;"/"&amp;Tableau6[Mois]</f>
        <v>20/9</v>
      </c>
      <c r="D266" s="35" t="e">
        <f>MATCH(Tableau6[Jours Mois]&amp;"/"&amp;Tableau6[[#Headers],[2021]],tabSuiviConso[Jour Mois Année],0)</f>
        <v>#N/A</v>
      </c>
      <c r="E266" s="35" t="str">
        <f>IF(ISNA(Tableau6[[#This Row],[Position 2021]]),"",INDEX(tabSuiviConso[HP + HC
cumul],Tableau6[[#This Row],[Position 2021]],1))</f>
        <v/>
      </c>
      <c r="F266" s="56" t="e">
        <f>IF(ISNA(Tableau6[[#This Row],[Position 2021]]),Tableau6[[#This Row],[Position 2021]],Tableau6[[#This Row],[2021]]-E$2)</f>
        <v>#N/A</v>
      </c>
      <c r="G266" s="35" t="e">
        <f>MATCH(Tableau6[Jours Mois]&amp;"/"&amp;Tableau6[[#Headers],[2022]],tabSuiviConso[Jour Mois Année],0)</f>
        <v>#N/A</v>
      </c>
      <c r="H266" s="35" t="str">
        <f>IF(ISNA(Tableau6[[#This Row],[Position 2022]]),"",INDEX(tabSuiviConso[HP + HC
cumul],Tableau6[[#This Row],[Position 2022]],1))</f>
        <v/>
      </c>
      <c r="I266" s="56" t="e">
        <f>IF(ISNA(Tableau6[[#This Row],[Position 2022]]),Tableau6[[#This Row],[Position 2022]],Tableau6[[#This Row],[2022]]-H$2)</f>
        <v>#N/A</v>
      </c>
      <c r="J266" s="35" t="e">
        <f>MATCH(Tableau6[Jours Mois]&amp;"/"&amp;Tableau6[[#Headers],[2023]],tabSuiviConso[Jour Mois Année],0)</f>
        <v>#N/A</v>
      </c>
      <c r="K266" s="35" t="e">
        <f>Tableau6[[#This Row],[Cumul 2022]]-Tableau6[[#This Row],[Cumul 2021]]</f>
        <v>#N/A</v>
      </c>
      <c r="L266" s="37" t="e">
        <f>Tableau6[[#This Row],[Ecart 2021 2022]]/Tableau6[[#This Row],[Cumul 2021]]</f>
        <v>#N/A</v>
      </c>
      <c r="M266" s="35" t="str">
        <f>IF(ISNA(Tableau6[[#This Row],[Position 2023]]),"",INDEX(tabSuiviConso[HP + HC
cumul],Tableau6[[#This Row],[Position 2023]],1))</f>
        <v/>
      </c>
      <c r="N266" s="56" t="e">
        <f>IF(ISNA(Tableau6[[#This Row],[Position 2023]]),Tableau6[[#This Row],[Position 2023]],Tableau6[[#This Row],[2023]]-M$2)</f>
        <v>#N/A</v>
      </c>
      <c r="O266" s="35" t="e">
        <f>Tableau6[[#This Row],[Cumul 2023]]-Tableau6[[#This Row],[Cumul 2022]]</f>
        <v>#N/A</v>
      </c>
      <c r="P266" s="37" t="e">
        <f>Tableau6[[#This Row],[Ecart 2022 2023]]/Tableau6[[#This Row],[Cumul 2022]]</f>
        <v>#N/A</v>
      </c>
      <c r="Q266" s="35" t="e">
        <f>MATCH(Tableau6[Jours Mois]&amp;"/"&amp;Tableau6[[#Headers],[2024]],tabSuiviConso[Jour Mois Année],0)</f>
        <v>#N/A</v>
      </c>
      <c r="R266" s="35" t="str">
        <f>IF(ISNA(Tableau6[[#This Row],[Position 2024]]),"",INDEX(tabSuiviConso[HP + HC
cumul],Tableau6[[#This Row],[Position 2024]],1))</f>
        <v/>
      </c>
      <c r="S266" s="56" t="e">
        <f>IF(ISNA(Tableau6[[#This Row],[Position 2024]]),Tableau6[[#This Row],[Position 2024]],Tableau6[[#This Row],[2024]]-R$2)</f>
        <v>#N/A</v>
      </c>
      <c r="T266" s="35" t="e">
        <f>Tableau6[[#This Row],[Cumul 2024]]-Tableau6[[#This Row],[Cumul 2023]]</f>
        <v>#N/A</v>
      </c>
      <c r="U266" s="36" t="e">
        <f>Tableau6[[#This Row],[Ecart 2023 2024]]/Tableau6[[#This Row],[Cumul 2023]]</f>
        <v>#N/A</v>
      </c>
    </row>
    <row r="267" spans="1:21" x14ac:dyDescent="0.2">
      <c r="A267" s="35">
        <v>9</v>
      </c>
      <c r="B267" s="35">
        <v>21</v>
      </c>
      <c r="C267" s="35" t="str">
        <f>Tableau6[Jour]&amp;"/"&amp;Tableau6[Mois]</f>
        <v>21/9</v>
      </c>
      <c r="D267" s="35" t="e">
        <f>MATCH(Tableau6[Jours Mois]&amp;"/"&amp;Tableau6[[#Headers],[2021]],tabSuiviConso[Jour Mois Année],0)</f>
        <v>#N/A</v>
      </c>
      <c r="E267" s="35" t="str">
        <f>IF(ISNA(Tableau6[[#This Row],[Position 2021]]),"",INDEX(tabSuiviConso[HP + HC
cumul],Tableau6[[#This Row],[Position 2021]],1))</f>
        <v/>
      </c>
      <c r="F267" s="56" t="e">
        <f>IF(ISNA(Tableau6[[#This Row],[Position 2021]]),Tableau6[[#This Row],[Position 2021]],Tableau6[[#This Row],[2021]]-E$2)</f>
        <v>#N/A</v>
      </c>
      <c r="G267" s="35" t="e">
        <f>MATCH(Tableau6[Jours Mois]&amp;"/"&amp;Tableau6[[#Headers],[2022]],tabSuiviConso[Jour Mois Année],0)</f>
        <v>#N/A</v>
      </c>
      <c r="H267" s="35" t="str">
        <f>IF(ISNA(Tableau6[[#This Row],[Position 2022]]),"",INDEX(tabSuiviConso[HP + HC
cumul],Tableau6[[#This Row],[Position 2022]],1))</f>
        <v/>
      </c>
      <c r="I267" s="56" t="e">
        <f>IF(ISNA(Tableau6[[#This Row],[Position 2022]]),Tableau6[[#This Row],[Position 2022]],Tableau6[[#This Row],[2022]]-H$2)</f>
        <v>#N/A</v>
      </c>
      <c r="J267" s="35" t="e">
        <f>MATCH(Tableau6[Jours Mois]&amp;"/"&amp;Tableau6[[#Headers],[2023]],tabSuiviConso[Jour Mois Année],0)</f>
        <v>#N/A</v>
      </c>
      <c r="K267" s="35" t="e">
        <f>Tableau6[[#This Row],[Cumul 2022]]-Tableau6[[#This Row],[Cumul 2021]]</f>
        <v>#N/A</v>
      </c>
      <c r="L267" s="37" t="e">
        <f>Tableau6[[#This Row],[Ecart 2021 2022]]/Tableau6[[#This Row],[Cumul 2021]]</f>
        <v>#N/A</v>
      </c>
      <c r="M267" s="35" t="str">
        <f>IF(ISNA(Tableau6[[#This Row],[Position 2023]]),"",INDEX(tabSuiviConso[HP + HC
cumul],Tableau6[[#This Row],[Position 2023]],1))</f>
        <v/>
      </c>
      <c r="N267" s="56" t="e">
        <f>IF(ISNA(Tableau6[[#This Row],[Position 2023]]),Tableau6[[#This Row],[Position 2023]],Tableau6[[#This Row],[2023]]-M$2)</f>
        <v>#N/A</v>
      </c>
      <c r="O267" s="35" t="e">
        <f>Tableau6[[#This Row],[Cumul 2023]]-Tableau6[[#This Row],[Cumul 2022]]</f>
        <v>#N/A</v>
      </c>
      <c r="P267" s="37" t="e">
        <f>Tableau6[[#This Row],[Ecart 2022 2023]]/Tableau6[[#This Row],[Cumul 2022]]</f>
        <v>#N/A</v>
      </c>
      <c r="Q267" s="35" t="e">
        <f>MATCH(Tableau6[Jours Mois]&amp;"/"&amp;Tableau6[[#Headers],[2024]],tabSuiviConso[Jour Mois Année],0)</f>
        <v>#N/A</v>
      </c>
      <c r="R267" s="35" t="str">
        <f>IF(ISNA(Tableau6[[#This Row],[Position 2024]]),"",INDEX(tabSuiviConso[HP + HC
cumul],Tableau6[[#This Row],[Position 2024]],1))</f>
        <v/>
      </c>
      <c r="S267" s="56" t="e">
        <f>IF(ISNA(Tableau6[[#This Row],[Position 2024]]),Tableau6[[#This Row],[Position 2024]],Tableau6[[#This Row],[2024]]-R$2)</f>
        <v>#N/A</v>
      </c>
      <c r="T267" s="35" t="e">
        <f>Tableau6[[#This Row],[Cumul 2024]]-Tableau6[[#This Row],[Cumul 2023]]</f>
        <v>#N/A</v>
      </c>
      <c r="U267" s="36" t="e">
        <f>Tableau6[[#This Row],[Ecart 2023 2024]]/Tableau6[[#This Row],[Cumul 2023]]</f>
        <v>#N/A</v>
      </c>
    </row>
    <row r="268" spans="1:21" x14ac:dyDescent="0.2">
      <c r="A268" s="35">
        <v>9</v>
      </c>
      <c r="B268" s="35">
        <v>22</v>
      </c>
      <c r="C268" s="35" t="str">
        <f>Tableau6[Jour]&amp;"/"&amp;Tableau6[Mois]</f>
        <v>22/9</v>
      </c>
      <c r="D268" s="35" t="e">
        <f>MATCH(Tableau6[Jours Mois]&amp;"/"&amp;Tableau6[[#Headers],[2021]],tabSuiviConso[Jour Mois Année],0)</f>
        <v>#N/A</v>
      </c>
      <c r="E268" s="35" t="str">
        <f>IF(ISNA(Tableau6[[#This Row],[Position 2021]]),"",INDEX(tabSuiviConso[HP + HC
cumul],Tableau6[[#This Row],[Position 2021]],1))</f>
        <v/>
      </c>
      <c r="F268" s="56" t="e">
        <f>IF(ISNA(Tableau6[[#This Row],[Position 2021]]),Tableau6[[#This Row],[Position 2021]],Tableau6[[#This Row],[2021]]-E$2)</f>
        <v>#N/A</v>
      </c>
      <c r="G268" s="35" t="e">
        <f>MATCH(Tableau6[Jours Mois]&amp;"/"&amp;Tableau6[[#Headers],[2022]],tabSuiviConso[Jour Mois Année],0)</f>
        <v>#N/A</v>
      </c>
      <c r="H268" s="35" t="str">
        <f>IF(ISNA(Tableau6[[#This Row],[Position 2022]]),"",INDEX(tabSuiviConso[HP + HC
cumul],Tableau6[[#This Row],[Position 2022]],1))</f>
        <v/>
      </c>
      <c r="I268" s="56" t="e">
        <f>IF(ISNA(Tableau6[[#This Row],[Position 2022]]),Tableau6[[#This Row],[Position 2022]],Tableau6[[#This Row],[2022]]-H$2)</f>
        <v>#N/A</v>
      </c>
      <c r="J268" s="35" t="e">
        <f>MATCH(Tableau6[Jours Mois]&amp;"/"&amp;Tableau6[[#Headers],[2023]],tabSuiviConso[Jour Mois Année],0)</f>
        <v>#N/A</v>
      </c>
      <c r="K268" s="35" t="e">
        <f>Tableau6[[#This Row],[Cumul 2022]]-Tableau6[[#This Row],[Cumul 2021]]</f>
        <v>#N/A</v>
      </c>
      <c r="L268" s="37" t="e">
        <f>Tableau6[[#This Row],[Ecart 2021 2022]]/Tableau6[[#This Row],[Cumul 2021]]</f>
        <v>#N/A</v>
      </c>
      <c r="M268" s="35" t="str">
        <f>IF(ISNA(Tableau6[[#This Row],[Position 2023]]),"",INDEX(tabSuiviConso[HP + HC
cumul],Tableau6[[#This Row],[Position 2023]],1))</f>
        <v/>
      </c>
      <c r="N268" s="56" t="e">
        <f>IF(ISNA(Tableau6[[#This Row],[Position 2023]]),Tableau6[[#This Row],[Position 2023]],Tableau6[[#This Row],[2023]]-M$2)</f>
        <v>#N/A</v>
      </c>
      <c r="O268" s="35" t="e">
        <f>Tableau6[[#This Row],[Cumul 2023]]-Tableau6[[#This Row],[Cumul 2022]]</f>
        <v>#N/A</v>
      </c>
      <c r="P268" s="37" t="e">
        <f>Tableau6[[#This Row],[Ecart 2022 2023]]/Tableau6[[#This Row],[Cumul 2022]]</f>
        <v>#N/A</v>
      </c>
      <c r="Q268" s="35" t="e">
        <f>MATCH(Tableau6[Jours Mois]&amp;"/"&amp;Tableau6[[#Headers],[2024]],tabSuiviConso[Jour Mois Année],0)</f>
        <v>#N/A</v>
      </c>
      <c r="R268" s="35" t="str">
        <f>IF(ISNA(Tableau6[[#This Row],[Position 2024]]),"",INDEX(tabSuiviConso[HP + HC
cumul],Tableau6[[#This Row],[Position 2024]],1))</f>
        <v/>
      </c>
      <c r="S268" s="56" t="e">
        <f>IF(ISNA(Tableau6[[#This Row],[Position 2024]]),Tableau6[[#This Row],[Position 2024]],Tableau6[[#This Row],[2024]]-R$2)</f>
        <v>#N/A</v>
      </c>
      <c r="T268" s="35" t="e">
        <f>Tableau6[[#This Row],[Cumul 2024]]-Tableau6[[#This Row],[Cumul 2023]]</f>
        <v>#N/A</v>
      </c>
      <c r="U268" s="36" t="e">
        <f>Tableau6[[#This Row],[Ecart 2023 2024]]/Tableau6[[#This Row],[Cumul 2023]]</f>
        <v>#N/A</v>
      </c>
    </row>
    <row r="269" spans="1:21" x14ac:dyDescent="0.2">
      <c r="A269" s="35">
        <v>9</v>
      </c>
      <c r="B269" s="35">
        <v>23</v>
      </c>
      <c r="C269" s="35" t="str">
        <f>Tableau6[Jour]&amp;"/"&amp;Tableau6[Mois]</f>
        <v>23/9</v>
      </c>
      <c r="D269" s="35" t="e">
        <f>MATCH(Tableau6[Jours Mois]&amp;"/"&amp;Tableau6[[#Headers],[2021]],tabSuiviConso[Jour Mois Année],0)</f>
        <v>#N/A</v>
      </c>
      <c r="E269" s="35" t="str">
        <f>IF(ISNA(Tableau6[[#This Row],[Position 2021]]),"",INDEX(tabSuiviConso[HP + HC
cumul],Tableau6[[#This Row],[Position 2021]],1))</f>
        <v/>
      </c>
      <c r="F269" s="56" t="e">
        <f>IF(ISNA(Tableau6[[#This Row],[Position 2021]]),Tableau6[[#This Row],[Position 2021]],Tableau6[[#This Row],[2021]]-E$2)</f>
        <v>#N/A</v>
      </c>
      <c r="G269" s="35" t="e">
        <f>MATCH(Tableau6[Jours Mois]&amp;"/"&amp;Tableau6[[#Headers],[2022]],tabSuiviConso[Jour Mois Année],0)</f>
        <v>#N/A</v>
      </c>
      <c r="H269" s="35" t="str">
        <f>IF(ISNA(Tableau6[[#This Row],[Position 2022]]),"",INDEX(tabSuiviConso[HP + HC
cumul],Tableau6[[#This Row],[Position 2022]],1))</f>
        <v/>
      </c>
      <c r="I269" s="56" t="e">
        <f>IF(ISNA(Tableau6[[#This Row],[Position 2022]]),Tableau6[[#This Row],[Position 2022]],Tableau6[[#This Row],[2022]]-H$2)</f>
        <v>#N/A</v>
      </c>
      <c r="J269" s="35" t="e">
        <f>MATCH(Tableau6[Jours Mois]&amp;"/"&amp;Tableau6[[#Headers],[2023]],tabSuiviConso[Jour Mois Année],0)</f>
        <v>#N/A</v>
      </c>
      <c r="K269" s="35" t="e">
        <f>Tableau6[[#This Row],[Cumul 2022]]-Tableau6[[#This Row],[Cumul 2021]]</f>
        <v>#N/A</v>
      </c>
      <c r="L269" s="37" t="e">
        <f>Tableau6[[#This Row],[Ecart 2021 2022]]/Tableau6[[#This Row],[Cumul 2021]]</f>
        <v>#N/A</v>
      </c>
      <c r="M269" s="35" t="str">
        <f>IF(ISNA(Tableau6[[#This Row],[Position 2023]]),"",INDEX(tabSuiviConso[HP + HC
cumul],Tableau6[[#This Row],[Position 2023]],1))</f>
        <v/>
      </c>
      <c r="N269" s="56" t="e">
        <f>IF(ISNA(Tableau6[[#This Row],[Position 2023]]),Tableau6[[#This Row],[Position 2023]],Tableau6[[#This Row],[2023]]-M$2)</f>
        <v>#N/A</v>
      </c>
      <c r="O269" s="35" t="e">
        <f>Tableau6[[#This Row],[Cumul 2023]]-Tableau6[[#This Row],[Cumul 2022]]</f>
        <v>#N/A</v>
      </c>
      <c r="P269" s="37" t="e">
        <f>Tableau6[[#This Row],[Ecart 2022 2023]]/Tableau6[[#This Row],[Cumul 2022]]</f>
        <v>#N/A</v>
      </c>
      <c r="Q269" s="35" t="e">
        <f>MATCH(Tableau6[Jours Mois]&amp;"/"&amp;Tableau6[[#Headers],[2024]],tabSuiviConso[Jour Mois Année],0)</f>
        <v>#N/A</v>
      </c>
      <c r="R269" s="35" t="str">
        <f>IF(ISNA(Tableau6[[#This Row],[Position 2024]]),"",INDEX(tabSuiviConso[HP + HC
cumul],Tableau6[[#This Row],[Position 2024]],1))</f>
        <v/>
      </c>
      <c r="S269" s="56" t="e">
        <f>IF(ISNA(Tableau6[[#This Row],[Position 2024]]),Tableau6[[#This Row],[Position 2024]],Tableau6[[#This Row],[2024]]-R$2)</f>
        <v>#N/A</v>
      </c>
      <c r="T269" s="35" t="e">
        <f>Tableau6[[#This Row],[Cumul 2024]]-Tableau6[[#This Row],[Cumul 2023]]</f>
        <v>#N/A</v>
      </c>
      <c r="U269" s="36" t="e">
        <f>Tableau6[[#This Row],[Ecart 2023 2024]]/Tableau6[[#This Row],[Cumul 2023]]</f>
        <v>#N/A</v>
      </c>
    </row>
    <row r="270" spans="1:21" x14ac:dyDescent="0.2">
      <c r="A270" s="35">
        <v>9</v>
      </c>
      <c r="B270" s="35">
        <v>24</v>
      </c>
      <c r="C270" s="35" t="str">
        <f>Tableau6[Jour]&amp;"/"&amp;Tableau6[Mois]</f>
        <v>24/9</v>
      </c>
      <c r="D270" s="35" t="e">
        <f>MATCH(Tableau6[Jours Mois]&amp;"/"&amp;Tableau6[[#Headers],[2021]],tabSuiviConso[Jour Mois Année],0)</f>
        <v>#N/A</v>
      </c>
      <c r="E270" s="35" t="str">
        <f>IF(ISNA(Tableau6[[#This Row],[Position 2021]]),"",INDEX(tabSuiviConso[HP + HC
cumul],Tableau6[[#This Row],[Position 2021]],1))</f>
        <v/>
      </c>
      <c r="F270" s="56" t="e">
        <f>IF(ISNA(Tableau6[[#This Row],[Position 2021]]),Tableau6[[#This Row],[Position 2021]],Tableau6[[#This Row],[2021]]-E$2)</f>
        <v>#N/A</v>
      </c>
      <c r="G270" s="35" t="e">
        <f>MATCH(Tableau6[Jours Mois]&amp;"/"&amp;Tableau6[[#Headers],[2022]],tabSuiviConso[Jour Mois Année],0)</f>
        <v>#N/A</v>
      </c>
      <c r="H270" s="35" t="str">
        <f>IF(ISNA(Tableau6[[#This Row],[Position 2022]]),"",INDEX(tabSuiviConso[HP + HC
cumul],Tableau6[[#This Row],[Position 2022]],1))</f>
        <v/>
      </c>
      <c r="I270" s="56" t="e">
        <f>IF(ISNA(Tableau6[[#This Row],[Position 2022]]),Tableau6[[#This Row],[Position 2022]],Tableau6[[#This Row],[2022]]-H$2)</f>
        <v>#N/A</v>
      </c>
      <c r="J270" s="35" t="e">
        <f>MATCH(Tableau6[Jours Mois]&amp;"/"&amp;Tableau6[[#Headers],[2023]],tabSuiviConso[Jour Mois Année],0)</f>
        <v>#N/A</v>
      </c>
      <c r="K270" s="35" t="e">
        <f>Tableau6[[#This Row],[Cumul 2022]]-Tableau6[[#This Row],[Cumul 2021]]</f>
        <v>#N/A</v>
      </c>
      <c r="L270" s="37" t="e">
        <f>Tableau6[[#This Row],[Ecart 2021 2022]]/Tableau6[[#This Row],[Cumul 2021]]</f>
        <v>#N/A</v>
      </c>
      <c r="M270" s="35" t="str">
        <f>IF(ISNA(Tableau6[[#This Row],[Position 2023]]),"",INDEX(tabSuiviConso[HP + HC
cumul],Tableau6[[#This Row],[Position 2023]],1))</f>
        <v/>
      </c>
      <c r="N270" s="56" t="e">
        <f>IF(ISNA(Tableau6[[#This Row],[Position 2023]]),Tableau6[[#This Row],[Position 2023]],Tableau6[[#This Row],[2023]]-M$2)</f>
        <v>#N/A</v>
      </c>
      <c r="O270" s="35" t="e">
        <f>Tableau6[[#This Row],[Cumul 2023]]-Tableau6[[#This Row],[Cumul 2022]]</f>
        <v>#N/A</v>
      </c>
      <c r="P270" s="37" t="e">
        <f>Tableau6[[#This Row],[Ecart 2022 2023]]/Tableau6[[#This Row],[Cumul 2022]]</f>
        <v>#N/A</v>
      </c>
      <c r="Q270" s="35" t="e">
        <f>MATCH(Tableau6[Jours Mois]&amp;"/"&amp;Tableau6[[#Headers],[2024]],tabSuiviConso[Jour Mois Année],0)</f>
        <v>#N/A</v>
      </c>
      <c r="R270" s="35" t="str">
        <f>IF(ISNA(Tableau6[[#This Row],[Position 2024]]),"",INDEX(tabSuiviConso[HP + HC
cumul],Tableau6[[#This Row],[Position 2024]],1))</f>
        <v/>
      </c>
      <c r="S270" s="56" t="e">
        <f>IF(ISNA(Tableau6[[#This Row],[Position 2024]]),Tableau6[[#This Row],[Position 2024]],Tableau6[[#This Row],[2024]]-R$2)</f>
        <v>#N/A</v>
      </c>
      <c r="T270" s="35" t="e">
        <f>Tableau6[[#This Row],[Cumul 2024]]-Tableau6[[#This Row],[Cumul 2023]]</f>
        <v>#N/A</v>
      </c>
      <c r="U270" s="36" t="e">
        <f>Tableau6[[#This Row],[Ecart 2023 2024]]/Tableau6[[#This Row],[Cumul 2023]]</f>
        <v>#N/A</v>
      </c>
    </row>
    <row r="271" spans="1:21" x14ac:dyDescent="0.2">
      <c r="A271" s="35">
        <v>9</v>
      </c>
      <c r="B271" s="35">
        <v>25</v>
      </c>
      <c r="C271" s="35" t="str">
        <f>Tableau6[Jour]&amp;"/"&amp;Tableau6[Mois]</f>
        <v>25/9</v>
      </c>
      <c r="D271" s="35" t="e">
        <f>MATCH(Tableau6[Jours Mois]&amp;"/"&amp;Tableau6[[#Headers],[2021]],tabSuiviConso[Jour Mois Année],0)</f>
        <v>#N/A</v>
      </c>
      <c r="E271" s="35" t="str">
        <f>IF(ISNA(Tableau6[[#This Row],[Position 2021]]),"",INDEX(tabSuiviConso[HP + HC
cumul],Tableau6[[#This Row],[Position 2021]],1))</f>
        <v/>
      </c>
      <c r="F271" s="56" t="e">
        <f>IF(ISNA(Tableau6[[#This Row],[Position 2021]]),Tableau6[[#This Row],[Position 2021]],Tableau6[[#This Row],[2021]]-E$2)</f>
        <v>#N/A</v>
      </c>
      <c r="G271" s="35" t="e">
        <f>MATCH(Tableau6[Jours Mois]&amp;"/"&amp;Tableau6[[#Headers],[2022]],tabSuiviConso[Jour Mois Année],0)</f>
        <v>#N/A</v>
      </c>
      <c r="H271" s="35" t="str">
        <f>IF(ISNA(Tableau6[[#This Row],[Position 2022]]),"",INDEX(tabSuiviConso[HP + HC
cumul],Tableau6[[#This Row],[Position 2022]],1))</f>
        <v/>
      </c>
      <c r="I271" s="56" t="e">
        <f>IF(ISNA(Tableau6[[#This Row],[Position 2022]]),Tableau6[[#This Row],[Position 2022]],Tableau6[[#This Row],[2022]]-H$2)</f>
        <v>#N/A</v>
      </c>
      <c r="J271" s="35" t="e">
        <f>MATCH(Tableau6[Jours Mois]&amp;"/"&amp;Tableau6[[#Headers],[2023]],tabSuiviConso[Jour Mois Année],0)</f>
        <v>#N/A</v>
      </c>
      <c r="K271" s="35" t="e">
        <f>Tableau6[[#This Row],[Cumul 2022]]-Tableau6[[#This Row],[Cumul 2021]]</f>
        <v>#N/A</v>
      </c>
      <c r="L271" s="37" t="e">
        <f>Tableau6[[#This Row],[Ecart 2021 2022]]/Tableau6[[#This Row],[Cumul 2021]]</f>
        <v>#N/A</v>
      </c>
      <c r="M271" s="35" t="str">
        <f>IF(ISNA(Tableau6[[#This Row],[Position 2023]]),"",INDEX(tabSuiviConso[HP + HC
cumul],Tableau6[[#This Row],[Position 2023]],1))</f>
        <v/>
      </c>
      <c r="N271" s="56" t="e">
        <f>IF(ISNA(Tableau6[[#This Row],[Position 2023]]),Tableau6[[#This Row],[Position 2023]],Tableau6[[#This Row],[2023]]-M$2)</f>
        <v>#N/A</v>
      </c>
      <c r="O271" s="35" t="e">
        <f>Tableau6[[#This Row],[Cumul 2023]]-Tableau6[[#This Row],[Cumul 2022]]</f>
        <v>#N/A</v>
      </c>
      <c r="P271" s="37" t="e">
        <f>Tableau6[[#This Row],[Ecart 2022 2023]]/Tableau6[[#This Row],[Cumul 2022]]</f>
        <v>#N/A</v>
      </c>
      <c r="Q271" s="35" t="e">
        <f>MATCH(Tableau6[Jours Mois]&amp;"/"&amp;Tableau6[[#Headers],[2024]],tabSuiviConso[Jour Mois Année],0)</f>
        <v>#N/A</v>
      </c>
      <c r="R271" s="35" t="str">
        <f>IF(ISNA(Tableau6[[#This Row],[Position 2024]]),"",INDEX(tabSuiviConso[HP + HC
cumul],Tableau6[[#This Row],[Position 2024]],1))</f>
        <v/>
      </c>
      <c r="S271" s="56" t="e">
        <f>IF(ISNA(Tableau6[[#This Row],[Position 2024]]),Tableau6[[#This Row],[Position 2024]],Tableau6[[#This Row],[2024]]-R$2)</f>
        <v>#N/A</v>
      </c>
      <c r="T271" s="35" t="e">
        <f>Tableau6[[#This Row],[Cumul 2024]]-Tableau6[[#This Row],[Cumul 2023]]</f>
        <v>#N/A</v>
      </c>
      <c r="U271" s="36" t="e">
        <f>Tableau6[[#This Row],[Ecart 2023 2024]]/Tableau6[[#This Row],[Cumul 2023]]</f>
        <v>#N/A</v>
      </c>
    </row>
    <row r="272" spans="1:21" x14ac:dyDescent="0.2">
      <c r="A272" s="35">
        <v>9</v>
      </c>
      <c r="B272" s="35">
        <v>26</v>
      </c>
      <c r="C272" s="35" t="str">
        <f>Tableau6[Jour]&amp;"/"&amp;Tableau6[Mois]</f>
        <v>26/9</v>
      </c>
      <c r="D272" s="35" t="e">
        <f>MATCH(Tableau6[Jours Mois]&amp;"/"&amp;Tableau6[[#Headers],[2021]],tabSuiviConso[Jour Mois Année],0)</f>
        <v>#N/A</v>
      </c>
      <c r="E272" s="35" t="str">
        <f>IF(ISNA(Tableau6[[#This Row],[Position 2021]]),"",INDEX(tabSuiviConso[HP + HC
cumul],Tableau6[[#This Row],[Position 2021]],1))</f>
        <v/>
      </c>
      <c r="F272" s="56" t="e">
        <f>IF(ISNA(Tableau6[[#This Row],[Position 2021]]),Tableau6[[#This Row],[Position 2021]],Tableau6[[#This Row],[2021]]-E$2)</f>
        <v>#N/A</v>
      </c>
      <c r="G272" s="35" t="e">
        <f>MATCH(Tableau6[Jours Mois]&amp;"/"&amp;Tableau6[[#Headers],[2022]],tabSuiviConso[Jour Mois Année],0)</f>
        <v>#N/A</v>
      </c>
      <c r="H272" s="35" t="str">
        <f>IF(ISNA(Tableau6[[#This Row],[Position 2022]]),"",INDEX(tabSuiviConso[HP + HC
cumul],Tableau6[[#This Row],[Position 2022]],1))</f>
        <v/>
      </c>
      <c r="I272" s="56" t="e">
        <f>IF(ISNA(Tableau6[[#This Row],[Position 2022]]),Tableau6[[#This Row],[Position 2022]],Tableau6[[#This Row],[2022]]-H$2)</f>
        <v>#N/A</v>
      </c>
      <c r="J272" s="35" t="e">
        <f>MATCH(Tableau6[Jours Mois]&amp;"/"&amp;Tableau6[[#Headers],[2023]],tabSuiviConso[Jour Mois Année],0)</f>
        <v>#N/A</v>
      </c>
      <c r="K272" s="35" t="e">
        <f>Tableau6[[#This Row],[Cumul 2022]]-Tableau6[[#This Row],[Cumul 2021]]</f>
        <v>#N/A</v>
      </c>
      <c r="L272" s="37" t="e">
        <f>Tableau6[[#This Row],[Ecart 2021 2022]]/Tableau6[[#This Row],[Cumul 2021]]</f>
        <v>#N/A</v>
      </c>
      <c r="M272" s="35" t="str">
        <f>IF(ISNA(Tableau6[[#This Row],[Position 2023]]),"",INDEX(tabSuiviConso[HP + HC
cumul],Tableau6[[#This Row],[Position 2023]],1))</f>
        <v/>
      </c>
      <c r="N272" s="56" t="e">
        <f>IF(ISNA(Tableau6[[#This Row],[Position 2023]]),Tableau6[[#This Row],[Position 2023]],Tableau6[[#This Row],[2023]]-M$2)</f>
        <v>#N/A</v>
      </c>
      <c r="O272" s="35" t="e">
        <f>Tableau6[[#This Row],[Cumul 2023]]-Tableau6[[#This Row],[Cumul 2022]]</f>
        <v>#N/A</v>
      </c>
      <c r="P272" s="37" t="e">
        <f>Tableau6[[#This Row],[Ecart 2022 2023]]/Tableau6[[#This Row],[Cumul 2022]]</f>
        <v>#N/A</v>
      </c>
      <c r="Q272" s="35" t="e">
        <f>MATCH(Tableau6[Jours Mois]&amp;"/"&amp;Tableau6[[#Headers],[2024]],tabSuiviConso[Jour Mois Année],0)</f>
        <v>#N/A</v>
      </c>
      <c r="R272" s="35" t="str">
        <f>IF(ISNA(Tableau6[[#This Row],[Position 2024]]),"",INDEX(tabSuiviConso[HP + HC
cumul],Tableau6[[#This Row],[Position 2024]],1))</f>
        <v/>
      </c>
      <c r="S272" s="56" t="e">
        <f>IF(ISNA(Tableau6[[#This Row],[Position 2024]]),Tableau6[[#This Row],[Position 2024]],Tableau6[[#This Row],[2024]]-R$2)</f>
        <v>#N/A</v>
      </c>
      <c r="T272" s="35" t="e">
        <f>Tableau6[[#This Row],[Cumul 2024]]-Tableau6[[#This Row],[Cumul 2023]]</f>
        <v>#N/A</v>
      </c>
      <c r="U272" s="36" t="e">
        <f>Tableau6[[#This Row],[Ecart 2023 2024]]/Tableau6[[#This Row],[Cumul 2023]]</f>
        <v>#N/A</v>
      </c>
    </row>
    <row r="273" spans="1:21" x14ac:dyDescent="0.2">
      <c r="A273" s="35">
        <v>9</v>
      </c>
      <c r="B273" s="35">
        <v>27</v>
      </c>
      <c r="C273" s="35" t="str">
        <f>Tableau6[Jour]&amp;"/"&amp;Tableau6[Mois]</f>
        <v>27/9</v>
      </c>
      <c r="D273" s="35" t="e">
        <f>MATCH(Tableau6[Jours Mois]&amp;"/"&amp;Tableau6[[#Headers],[2021]],tabSuiviConso[Jour Mois Année],0)</f>
        <v>#N/A</v>
      </c>
      <c r="E273" s="35" t="str">
        <f>IF(ISNA(Tableau6[[#This Row],[Position 2021]]),"",INDEX(tabSuiviConso[HP + HC
cumul],Tableau6[[#This Row],[Position 2021]],1))</f>
        <v/>
      </c>
      <c r="F273" s="56" t="e">
        <f>IF(ISNA(Tableau6[[#This Row],[Position 2021]]),Tableau6[[#This Row],[Position 2021]],Tableau6[[#This Row],[2021]]-E$2)</f>
        <v>#N/A</v>
      </c>
      <c r="G273" s="35" t="e">
        <f>MATCH(Tableau6[Jours Mois]&amp;"/"&amp;Tableau6[[#Headers],[2022]],tabSuiviConso[Jour Mois Année],0)</f>
        <v>#N/A</v>
      </c>
      <c r="H273" s="35" t="str">
        <f>IF(ISNA(Tableau6[[#This Row],[Position 2022]]),"",INDEX(tabSuiviConso[HP + HC
cumul],Tableau6[[#This Row],[Position 2022]],1))</f>
        <v/>
      </c>
      <c r="I273" s="56" t="e">
        <f>IF(ISNA(Tableau6[[#This Row],[Position 2022]]),Tableau6[[#This Row],[Position 2022]],Tableau6[[#This Row],[2022]]-H$2)</f>
        <v>#N/A</v>
      </c>
      <c r="J273" s="35" t="e">
        <f>MATCH(Tableau6[Jours Mois]&amp;"/"&amp;Tableau6[[#Headers],[2023]],tabSuiviConso[Jour Mois Année],0)</f>
        <v>#N/A</v>
      </c>
      <c r="K273" s="35" t="e">
        <f>Tableau6[[#This Row],[Cumul 2022]]-Tableau6[[#This Row],[Cumul 2021]]</f>
        <v>#N/A</v>
      </c>
      <c r="L273" s="37" t="e">
        <f>Tableau6[[#This Row],[Ecart 2021 2022]]/Tableau6[[#This Row],[Cumul 2021]]</f>
        <v>#N/A</v>
      </c>
      <c r="M273" s="35" t="str">
        <f>IF(ISNA(Tableau6[[#This Row],[Position 2023]]),"",INDEX(tabSuiviConso[HP + HC
cumul],Tableau6[[#This Row],[Position 2023]],1))</f>
        <v/>
      </c>
      <c r="N273" s="56" t="e">
        <f>IF(ISNA(Tableau6[[#This Row],[Position 2023]]),Tableau6[[#This Row],[Position 2023]],Tableau6[[#This Row],[2023]]-M$2)</f>
        <v>#N/A</v>
      </c>
      <c r="O273" s="35" t="e">
        <f>Tableau6[[#This Row],[Cumul 2023]]-Tableau6[[#This Row],[Cumul 2022]]</f>
        <v>#N/A</v>
      </c>
      <c r="P273" s="37" t="e">
        <f>Tableau6[[#This Row],[Ecart 2022 2023]]/Tableau6[[#This Row],[Cumul 2022]]</f>
        <v>#N/A</v>
      </c>
      <c r="Q273" s="35" t="e">
        <f>MATCH(Tableau6[Jours Mois]&amp;"/"&amp;Tableau6[[#Headers],[2024]],tabSuiviConso[Jour Mois Année],0)</f>
        <v>#N/A</v>
      </c>
      <c r="R273" s="35" t="str">
        <f>IF(ISNA(Tableau6[[#This Row],[Position 2024]]),"",INDEX(tabSuiviConso[HP + HC
cumul],Tableau6[[#This Row],[Position 2024]],1))</f>
        <v/>
      </c>
      <c r="S273" s="56" t="e">
        <f>IF(ISNA(Tableau6[[#This Row],[Position 2024]]),Tableau6[[#This Row],[Position 2024]],Tableau6[[#This Row],[2024]]-R$2)</f>
        <v>#N/A</v>
      </c>
      <c r="T273" s="35" t="e">
        <f>Tableau6[[#This Row],[Cumul 2024]]-Tableau6[[#This Row],[Cumul 2023]]</f>
        <v>#N/A</v>
      </c>
      <c r="U273" s="36" t="e">
        <f>Tableau6[[#This Row],[Ecart 2023 2024]]/Tableau6[[#This Row],[Cumul 2023]]</f>
        <v>#N/A</v>
      </c>
    </row>
    <row r="274" spans="1:21" x14ac:dyDescent="0.2">
      <c r="A274" s="35">
        <v>9</v>
      </c>
      <c r="B274" s="35">
        <v>28</v>
      </c>
      <c r="C274" s="35" t="str">
        <f>Tableau6[Jour]&amp;"/"&amp;Tableau6[Mois]</f>
        <v>28/9</v>
      </c>
      <c r="D274" s="35" t="e">
        <f>MATCH(Tableau6[Jours Mois]&amp;"/"&amp;Tableau6[[#Headers],[2021]],tabSuiviConso[Jour Mois Année],0)</f>
        <v>#N/A</v>
      </c>
      <c r="E274" s="35" t="str">
        <f>IF(ISNA(Tableau6[[#This Row],[Position 2021]]),"",INDEX(tabSuiviConso[HP + HC
cumul],Tableau6[[#This Row],[Position 2021]],1))</f>
        <v/>
      </c>
      <c r="F274" s="56" t="e">
        <f>IF(ISNA(Tableau6[[#This Row],[Position 2021]]),Tableau6[[#This Row],[Position 2021]],Tableau6[[#This Row],[2021]]-E$2)</f>
        <v>#N/A</v>
      </c>
      <c r="G274" s="35" t="e">
        <f>MATCH(Tableau6[Jours Mois]&amp;"/"&amp;Tableau6[[#Headers],[2022]],tabSuiviConso[Jour Mois Année],0)</f>
        <v>#N/A</v>
      </c>
      <c r="H274" s="35" t="str">
        <f>IF(ISNA(Tableau6[[#This Row],[Position 2022]]),"",INDEX(tabSuiviConso[HP + HC
cumul],Tableau6[[#This Row],[Position 2022]],1))</f>
        <v/>
      </c>
      <c r="I274" s="56" t="e">
        <f>IF(ISNA(Tableau6[[#This Row],[Position 2022]]),Tableau6[[#This Row],[Position 2022]],Tableau6[[#This Row],[2022]]-H$2)</f>
        <v>#N/A</v>
      </c>
      <c r="J274" s="35" t="e">
        <f>MATCH(Tableau6[Jours Mois]&amp;"/"&amp;Tableau6[[#Headers],[2023]],tabSuiviConso[Jour Mois Année],0)</f>
        <v>#N/A</v>
      </c>
      <c r="K274" s="35" t="e">
        <f>Tableau6[[#This Row],[Cumul 2022]]-Tableau6[[#This Row],[Cumul 2021]]</f>
        <v>#N/A</v>
      </c>
      <c r="L274" s="37" t="e">
        <f>Tableau6[[#This Row],[Ecart 2021 2022]]/Tableau6[[#This Row],[Cumul 2021]]</f>
        <v>#N/A</v>
      </c>
      <c r="M274" s="35" t="str">
        <f>IF(ISNA(Tableau6[[#This Row],[Position 2023]]),"",INDEX(tabSuiviConso[HP + HC
cumul],Tableau6[[#This Row],[Position 2023]],1))</f>
        <v/>
      </c>
      <c r="N274" s="56" t="e">
        <f>IF(ISNA(Tableau6[[#This Row],[Position 2023]]),Tableau6[[#This Row],[Position 2023]],Tableau6[[#This Row],[2023]]-M$2)</f>
        <v>#N/A</v>
      </c>
      <c r="O274" s="35" t="e">
        <f>Tableau6[[#This Row],[Cumul 2023]]-Tableau6[[#This Row],[Cumul 2022]]</f>
        <v>#N/A</v>
      </c>
      <c r="P274" s="37" t="e">
        <f>Tableau6[[#This Row],[Ecart 2022 2023]]/Tableau6[[#This Row],[Cumul 2022]]</f>
        <v>#N/A</v>
      </c>
      <c r="Q274" s="35" t="e">
        <f>MATCH(Tableau6[Jours Mois]&amp;"/"&amp;Tableau6[[#Headers],[2024]],tabSuiviConso[Jour Mois Année],0)</f>
        <v>#N/A</v>
      </c>
      <c r="R274" s="35" t="str">
        <f>IF(ISNA(Tableau6[[#This Row],[Position 2024]]),"",INDEX(tabSuiviConso[HP + HC
cumul],Tableau6[[#This Row],[Position 2024]],1))</f>
        <v/>
      </c>
      <c r="S274" s="56" t="e">
        <f>IF(ISNA(Tableau6[[#This Row],[Position 2024]]),Tableau6[[#This Row],[Position 2024]],Tableau6[[#This Row],[2024]]-R$2)</f>
        <v>#N/A</v>
      </c>
      <c r="T274" s="35" t="e">
        <f>Tableau6[[#This Row],[Cumul 2024]]-Tableau6[[#This Row],[Cumul 2023]]</f>
        <v>#N/A</v>
      </c>
      <c r="U274" s="36" t="e">
        <f>Tableau6[[#This Row],[Ecart 2023 2024]]/Tableau6[[#This Row],[Cumul 2023]]</f>
        <v>#N/A</v>
      </c>
    </row>
    <row r="275" spans="1:21" x14ac:dyDescent="0.2">
      <c r="A275" s="35">
        <v>9</v>
      </c>
      <c r="B275" s="35">
        <v>29</v>
      </c>
      <c r="C275" s="35" t="str">
        <f>Tableau6[Jour]&amp;"/"&amp;Tableau6[Mois]</f>
        <v>29/9</v>
      </c>
      <c r="D275" s="35" t="e">
        <f>MATCH(Tableau6[Jours Mois]&amp;"/"&amp;Tableau6[[#Headers],[2021]],tabSuiviConso[Jour Mois Année],0)</f>
        <v>#N/A</v>
      </c>
      <c r="E275" s="35" t="str">
        <f>IF(ISNA(Tableau6[[#This Row],[Position 2021]]),"",INDEX(tabSuiviConso[HP + HC
cumul],Tableau6[[#This Row],[Position 2021]],1))</f>
        <v/>
      </c>
      <c r="F275" s="56" t="e">
        <f>IF(ISNA(Tableau6[[#This Row],[Position 2021]]),Tableau6[[#This Row],[Position 2021]],Tableau6[[#This Row],[2021]]-E$2)</f>
        <v>#N/A</v>
      </c>
      <c r="G275" s="35" t="e">
        <f>MATCH(Tableau6[Jours Mois]&amp;"/"&amp;Tableau6[[#Headers],[2022]],tabSuiviConso[Jour Mois Année],0)</f>
        <v>#N/A</v>
      </c>
      <c r="H275" s="35" t="str">
        <f>IF(ISNA(Tableau6[[#This Row],[Position 2022]]),"",INDEX(tabSuiviConso[HP + HC
cumul],Tableau6[[#This Row],[Position 2022]],1))</f>
        <v/>
      </c>
      <c r="I275" s="56" t="e">
        <f>IF(ISNA(Tableau6[[#This Row],[Position 2022]]),Tableau6[[#This Row],[Position 2022]],Tableau6[[#This Row],[2022]]-H$2)</f>
        <v>#N/A</v>
      </c>
      <c r="J275" s="35" t="e">
        <f>MATCH(Tableau6[Jours Mois]&amp;"/"&amp;Tableau6[[#Headers],[2023]],tabSuiviConso[Jour Mois Année],0)</f>
        <v>#N/A</v>
      </c>
      <c r="K275" s="35" t="e">
        <f>Tableau6[[#This Row],[Cumul 2022]]-Tableau6[[#This Row],[Cumul 2021]]</f>
        <v>#N/A</v>
      </c>
      <c r="L275" s="37" t="e">
        <f>Tableau6[[#This Row],[Ecart 2021 2022]]/Tableau6[[#This Row],[Cumul 2021]]</f>
        <v>#N/A</v>
      </c>
      <c r="M275" s="35" t="str">
        <f>IF(ISNA(Tableau6[[#This Row],[Position 2023]]),"",INDEX(tabSuiviConso[HP + HC
cumul],Tableau6[[#This Row],[Position 2023]],1))</f>
        <v/>
      </c>
      <c r="N275" s="56" t="e">
        <f>IF(ISNA(Tableau6[[#This Row],[Position 2023]]),Tableau6[[#This Row],[Position 2023]],Tableau6[[#This Row],[2023]]-M$2)</f>
        <v>#N/A</v>
      </c>
      <c r="O275" s="35" t="e">
        <f>Tableau6[[#This Row],[Cumul 2023]]-Tableau6[[#This Row],[Cumul 2022]]</f>
        <v>#N/A</v>
      </c>
      <c r="P275" s="37" t="e">
        <f>Tableau6[[#This Row],[Ecart 2022 2023]]/Tableau6[[#This Row],[Cumul 2022]]</f>
        <v>#N/A</v>
      </c>
      <c r="Q275" s="35" t="e">
        <f>MATCH(Tableau6[Jours Mois]&amp;"/"&amp;Tableau6[[#Headers],[2024]],tabSuiviConso[Jour Mois Année],0)</f>
        <v>#N/A</v>
      </c>
      <c r="R275" s="35" t="str">
        <f>IF(ISNA(Tableau6[[#This Row],[Position 2024]]),"",INDEX(tabSuiviConso[HP + HC
cumul],Tableau6[[#This Row],[Position 2024]],1))</f>
        <v/>
      </c>
      <c r="S275" s="56" t="e">
        <f>IF(ISNA(Tableau6[[#This Row],[Position 2024]]),Tableau6[[#This Row],[Position 2024]],Tableau6[[#This Row],[2024]]-R$2)</f>
        <v>#N/A</v>
      </c>
      <c r="T275" s="35" t="e">
        <f>Tableau6[[#This Row],[Cumul 2024]]-Tableau6[[#This Row],[Cumul 2023]]</f>
        <v>#N/A</v>
      </c>
      <c r="U275" s="36" t="e">
        <f>Tableau6[[#This Row],[Ecart 2023 2024]]/Tableau6[[#This Row],[Cumul 2023]]</f>
        <v>#N/A</v>
      </c>
    </row>
    <row r="276" spans="1:21" x14ac:dyDescent="0.2">
      <c r="A276" s="35">
        <v>9</v>
      </c>
      <c r="B276" s="35">
        <v>30</v>
      </c>
      <c r="C276" s="35" t="str">
        <f>Tableau6[Jour]&amp;"/"&amp;Tableau6[Mois]</f>
        <v>30/9</v>
      </c>
      <c r="D276" s="35" t="e">
        <f>MATCH(Tableau6[Jours Mois]&amp;"/"&amp;Tableau6[[#Headers],[2021]],tabSuiviConso[Jour Mois Année],0)</f>
        <v>#N/A</v>
      </c>
      <c r="E276" s="35" t="str">
        <f>IF(ISNA(Tableau6[[#This Row],[Position 2021]]),"",INDEX(tabSuiviConso[HP + HC
cumul],Tableau6[[#This Row],[Position 2021]],1))</f>
        <v/>
      </c>
      <c r="F276" s="56" t="e">
        <f>IF(ISNA(Tableau6[[#This Row],[Position 2021]]),Tableau6[[#This Row],[Position 2021]],Tableau6[[#This Row],[2021]]-E$2)</f>
        <v>#N/A</v>
      </c>
      <c r="G276" s="35" t="e">
        <f>MATCH(Tableau6[Jours Mois]&amp;"/"&amp;Tableau6[[#Headers],[2022]],tabSuiviConso[Jour Mois Année],0)</f>
        <v>#N/A</v>
      </c>
      <c r="H276" s="35" t="str">
        <f>IF(ISNA(Tableau6[[#This Row],[Position 2022]]),"",INDEX(tabSuiviConso[HP + HC
cumul],Tableau6[[#This Row],[Position 2022]],1))</f>
        <v/>
      </c>
      <c r="I276" s="56" t="e">
        <f>IF(ISNA(Tableau6[[#This Row],[Position 2022]]),Tableau6[[#This Row],[Position 2022]],Tableau6[[#This Row],[2022]]-H$2)</f>
        <v>#N/A</v>
      </c>
      <c r="J276" s="35" t="e">
        <f>MATCH(Tableau6[Jours Mois]&amp;"/"&amp;Tableau6[[#Headers],[2023]],tabSuiviConso[Jour Mois Année],0)</f>
        <v>#N/A</v>
      </c>
      <c r="K276" s="35" t="e">
        <f>Tableau6[[#This Row],[Cumul 2022]]-Tableau6[[#This Row],[Cumul 2021]]</f>
        <v>#N/A</v>
      </c>
      <c r="L276" s="37" t="e">
        <f>Tableau6[[#This Row],[Ecart 2021 2022]]/Tableau6[[#This Row],[Cumul 2021]]</f>
        <v>#N/A</v>
      </c>
      <c r="M276" s="35" t="str">
        <f>IF(ISNA(Tableau6[[#This Row],[Position 2023]]),"",INDEX(tabSuiviConso[HP + HC
cumul],Tableau6[[#This Row],[Position 2023]],1))</f>
        <v/>
      </c>
      <c r="N276" s="56" t="e">
        <f>IF(ISNA(Tableau6[[#This Row],[Position 2023]]),Tableau6[[#This Row],[Position 2023]],Tableau6[[#This Row],[2023]]-M$2)</f>
        <v>#N/A</v>
      </c>
      <c r="O276" s="35" t="e">
        <f>Tableau6[[#This Row],[Cumul 2023]]-Tableau6[[#This Row],[Cumul 2022]]</f>
        <v>#N/A</v>
      </c>
      <c r="P276" s="37" t="e">
        <f>Tableau6[[#This Row],[Ecart 2022 2023]]/Tableau6[[#This Row],[Cumul 2022]]</f>
        <v>#N/A</v>
      </c>
      <c r="Q276" s="35" t="e">
        <f>MATCH(Tableau6[Jours Mois]&amp;"/"&amp;Tableau6[[#Headers],[2024]],tabSuiviConso[Jour Mois Année],0)</f>
        <v>#N/A</v>
      </c>
      <c r="R276" s="35" t="str">
        <f>IF(ISNA(Tableau6[[#This Row],[Position 2024]]),"",INDEX(tabSuiviConso[HP + HC
cumul],Tableau6[[#This Row],[Position 2024]],1))</f>
        <v/>
      </c>
      <c r="S276" s="56" t="e">
        <f>IF(ISNA(Tableau6[[#This Row],[Position 2024]]),Tableau6[[#This Row],[Position 2024]],Tableau6[[#This Row],[2024]]-R$2)</f>
        <v>#N/A</v>
      </c>
      <c r="T276" s="35" t="e">
        <f>Tableau6[[#This Row],[Cumul 2024]]-Tableau6[[#This Row],[Cumul 2023]]</f>
        <v>#N/A</v>
      </c>
      <c r="U276" s="36" t="e">
        <f>Tableau6[[#This Row],[Ecart 2023 2024]]/Tableau6[[#This Row],[Cumul 2023]]</f>
        <v>#N/A</v>
      </c>
    </row>
    <row r="277" spans="1:21" x14ac:dyDescent="0.2">
      <c r="A277" s="35">
        <v>10</v>
      </c>
      <c r="B277" s="35">
        <v>1</v>
      </c>
      <c r="C277" s="35" t="str">
        <f>Tableau6[Jour]&amp;"/"&amp;Tableau6[Mois]</f>
        <v>1/10</v>
      </c>
      <c r="D277" s="35" t="e">
        <f>MATCH(Tableau6[Jours Mois]&amp;"/"&amp;Tableau6[[#Headers],[2021]],tabSuiviConso[Jour Mois Année],0)</f>
        <v>#N/A</v>
      </c>
      <c r="E277" s="35" t="str">
        <f>IF(ISNA(Tableau6[[#This Row],[Position 2021]]),"",INDEX(tabSuiviConso[HP + HC
cumul],Tableau6[[#This Row],[Position 2021]],1))</f>
        <v/>
      </c>
      <c r="F277" s="56" t="e">
        <f>IF(ISNA(Tableau6[[#This Row],[Position 2021]]),Tableau6[[#This Row],[Position 2021]],Tableau6[[#This Row],[2021]]-E$2)</f>
        <v>#N/A</v>
      </c>
      <c r="G277" s="35" t="e">
        <f>MATCH(Tableau6[Jours Mois]&amp;"/"&amp;Tableau6[[#Headers],[2022]],tabSuiviConso[Jour Mois Année],0)</f>
        <v>#N/A</v>
      </c>
      <c r="H277" s="35" t="str">
        <f>IF(ISNA(Tableau6[[#This Row],[Position 2022]]),"",INDEX(tabSuiviConso[HP + HC
cumul],Tableau6[[#This Row],[Position 2022]],1))</f>
        <v/>
      </c>
      <c r="I277" s="56" t="e">
        <f>IF(ISNA(Tableau6[[#This Row],[Position 2022]]),Tableau6[[#This Row],[Position 2022]],Tableau6[[#This Row],[2022]]-H$2)</f>
        <v>#N/A</v>
      </c>
      <c r="J277" s="35" t="e">
        <f>MATCH(Tableau6[Jours Mois]&amp;"/"&amp;Tableau6[[#Headers],[2023]],tabSuiviConso[Jour Mois Année],0)</f>
        <v>#N/A</v>
      </c>
      <c r="K277" s="35" t="e">
        <f>Tableau6[[#This Row],[Cumul 2022]]-Tableau6[[#This Row],[Cumul 2021]]</f>
        <v>#N/A</v>
      </c>
      <c r="L277" s="37" t="e">
        <f>Tableau6[[#This Row],[Ecart 2021 2022]]/Tableau6[[#This Row],[Cumul 2021]]</f>
        <v>#N/A</v>
      </c>
      <c r="M277" s="35" t="str">
        <f>IF(ISNA(Tableau6[[#This Row],[Position 2023]]),"",INDEX(tabSuiviConso[HP + HC
cumul],Tableau6[[#This Row],[Position 2023]],1))</f>
        <v/>
      </c>
      <c r="N277" s="56" t="e">
        <f>IF(ISNA(Tableau6[[#This Row],[Position 2023]]),Tableau6[[#This Row],[Position 2023]],Tableau6[[#This Row],[2023]]-M$2)</f>
        <v>#N/A</v>
      </c>
      <c r="O277" s="35" t="e">
        <f>Tableau6[[#This Row],[Cumul 2023]]-Tableau6[[#This Row],[Cumul 2022]]</f>
        <v>#N/A</v>
      </c>
      <c r="P277" s="37" t="e">
        <f>Tableau6[[#This Row],[Ecart 2022 2023]]/Tableau6[[#This Row],[Cumul 2022]]</f>
        <v>#N/A</v>
      </c>
      <c r="Q277" s="35" t="e">
        <f>MATCH(Tableau6[Jours Mois]&amp;"/"&amp;Tableau6[[#Headers],[2024]],tabSuiviConso[Jour Mois Année],0)</f>
        <v>#N/A</v>
      </c>
      <c r="R277" s="35" t="str">
        <f>IF(ISNA(Tableau6[[#This Row],[Position 2024]]),"",INDEX(tabSuiviConso[HP + HC
cumul],Tableau6[[#This Row],[Position 2024]],1))</f>
        <v/>
      </c>
      <c r="S277" s="56" t="e">
        <f>IF(ISNA(Tableau6[[#This Row],[Position 2024]]),Tableau6[[#This Row],[Position 2024]],Tableau6[[#This Row],[2024]]-R$2)</f>
        <v>#N/A</v>
      </c>
      <c r="T277" s="35" t="e">
        <f>Tableau6[[#This Row],[Cumul 2024]]-Tableau6[[#This Row],[Cumul 2023]]</f>
        <v>#N/A</v>
      </c>
      <c r="U277" s="36" t="e">
        <f>Tableau6[[#This Row],[Ecart 2023 2024]]/Tableau6[[#This Row],[Cumul 2023]]</f>
        <v>#N/A</v>
      </c>
    </row>
    <row r="278" spans="1:21" x14ac:dyDescent="0.2">
      <c r="A278" s="35">
        <v>10</v>
      </c>
      <c r="B278" s="35">
        <v>2</v>
      </c>
      <c r="C278" s="35" t="str">
        <f>Tableau6[Jour]&amp;"/"&amp;Tableau6[Mois]</f>
        <v>2/10</v>
      </c>
      <c r="D278" s="35" t="e">
        <f>MATCH(Tableau6[Jours Mois]&amp;"/"&amp;Tableau6[[#Headers],[2021]],tabSuiviConso[Jour Mois Année],0)</f>
        <v>#N/A</v>
      </c>
      <c r="E278" s="35" t="str">
        <f>IF(ISNA(Tableau6[[#This Row],[Position 2021]]),"",INDEX(tabSuiviConso[HP + HC
cumul],Tableau6[[#This Row],[Position 2021]],1))</f>
        <v/>
      </c>
      <c r="F278" s="56" t="e">
        <f>IF(ISNA(Tableau6[[#This Row],[Position 2021]]),Tableau6[[#This Row],[Position 2021]],Tableau6[[#This Row],[2021]]-E$2)</f>
        <v>#N/A</v>
      </c>
      <c r="G278" s="35" t="e">
        <f>MATCH(Tableau6[Jours Mois]&amp;"/"&amp;Tableau6[[#Headers],[2022]],tabSuiviConso[Jour Mois Année],0)</f>
        <v>#N/A</v>
      </c>
      <c r="H278" s="35" t="str">
        <f>IF(ISNA(Tableau6[[#This Row],[Position 2022]]),"",INDEX(tabSuiviConso[HP + HC
cumul],Tableau6[[#This Row],[Position 2022]],1))</f>
        <v/>
      </c>
      <c r="I278" s="56" t="e">
        <f>IF(ISNA(Tableau6[[#This Row],[Position 2022]]),Tableau6[[#This Row],[Position 2022]],Tableau6[[#This Row],[2022]]-H$2)</f>
        <v>#N/A</v>
      </c>
      <c r="J278" s="35" t="e">
        <f>MATCH(Tableau6[Jours Mois]&amp;"/"&amp;Tableau6[[#Headers],[2023]],tabSuiviConso[Jour Mois Année],0)</f>
        <v>#N/A</v>
      </c>
      <c r="K278" s="35" t="e">
        <f>Tableau6[[#This Row],[Cumul 2022]]-Tableau6[[#This Row],[Cumul 2021]]</f>
        <v>#N/A</v>
      </c>
      <c r="L278" s="37" t="e">
        <f>Tableau6[[#This Row],[Ecart 2021 2022]]/Tableau6[[#This Row],[Cumul 2021]]</f>
        <v>#N/A</v>
      </c>
      <c r="M278" s="35" t="str">
        <f>IF(ISNA(Tableau6[[#This Row],[Position 2023]]),"",INDEX(tabSuiviConso[HP + HC
cumul],Tableau6[[#This Row],[Position 2023]],1))</f>
        <v/>
      </c>
      <c r="N278" s="56" t="e">
        <f>IF(ISNA(Tableau6[[#This Row],[Position 2023]]),Tableau6[[#This Row],[Position 2023]],Tableau6[[#This Row],[2023]]-M$2)</f>
        <v>#N/A</v>
      </c>
      <c r="O278" s="35" t="e">
        <f>Tableau6[[#This Row],[Cumul 2023]]-Tableau6[[#This Row],[Cumul 2022]]</f>
        <v>#N/A</v>
      </c>
      <c r="P278" s="37" t="e">
        <f>Tableau6[[#This Row],[Ecart 2022 2023]]/Tableau6[[#This Row],[Cumul 2022]]</f>
        <v>#N/A</v>
      </c>
      <c r="Q278" s="35" t="e">
        <f>MATCH(Tableau6[Jours Mois]&amp;"/"&amp;Tableau6[[#Headers],[2024]],tabSuiviConso[Jour Mois Année],0)</f>
        <v>#N/A</v>
      </c>
      <c r="R278" s="35" t="str">
        <f>IF(ISNA(Tableau6[[#This Row],[Position 2024]]),"",INDEX(tabSuiviConso[HP + HC
cumul],Tableau6[[#This Row],[Position 2024]],1))</f>
        <v/>
      </c>
      <c r="S278" s="56" t="e">
        <f>IF(ISNA(Tableau6[[#This Row],[Position 2024]]),Tableau6[[#This Row],[Position 2024]],Tableau6[[#This Row],[2024]]-R$2)</f>
        <v>#N/A</v>
      </c>
      <c r="T278" s="35" t="e">
        <f>Tableau6[[#This Row],[Cumul 2024]]-Tableau6[[#This Row],[Cumul 2023]]</f>
        <v>#N/A</v>
      </c>
      <c r="U278" s="36" t="e">
        <f>Tableau6[[#This Row],[Ecart 2023 2024]]/Tableau6[[#This Row],[Cumul 2023]]</f>
        <v>#N/A</v>
      </c>
    </row>
    <row r="279" spans="1:21" x14ac:dyDescent="0.2">
      <c r="A279" s="35">
        <v>10</v>
      </c>
      <c r="B279" s="35">
        <v>3</v>
      </c>
      <c r="C279" s="35" t="str">
        <f>Tableau6[Jour]&amp;"/"&amp;Tableau6[Mois]</f>
        <v>3/10</v>
      </c>
      <c r="D279" s="35" t="e">
        <f>MATCH(Tableau6[Jours Mois]&amp;"/"&amp;Tableau6[[#Headers],[2021]],tabSuiviConso[Jour Mois Année],0)</f>
        <v>#N/A</v>
      </c>
      <c r="E279" s="35" t="str">
        <f>IF(ISNA(Tableau6[[#This Row],[Position 2021]]),"",INDEX(tabSuiviConso[HP + HC
cumul],Tableau6[[#This Row],[Position 2021]],1))</f>
        <v/>
      </c>
      <c r="F279" s="56" t="e">
        <f>IF(ISNA(Tableau6[[#This Row],[Position 2021]]),Tableau6[[#This Row],[Position 2021]],Tableau6[[#This Row],[2021]]-E$2)</f>
        <v>#N/A</v>
      </c>
      <c r="G279" s="35" t="e">
        <f>MATCH(Tableau6[Jours Mois]&amp;"/"&amp;Tableau6[[#Headers],[2022]],tabSuiviConso[Jour Mois Année],0)</f>
        <v>#N/A</v>
      </c>
      <c r="H279" s="35" t="str">
        <f>IF(ISNA(Tableau6[[#This Row],[Position 2022]]),"",INDEX(tabSuiviConso[HP + HC
cumul],Tableau6[[#This Row],[Position 2022]],1))</f>
        <v/>
      </c>
      <c r="I279" s="56" t="e">
        <f>IF(ISNA(Tableau6[[#This Row],[Position 2022]]),Tableau6[[#This Row],[Position 2022]],Tableau6[[#This Row],[2022]]-H$2)</f>
        <v>#N/A</v>
      </c>
      <c r="J279" s="35" t="e">
        <f>MATCH(Tableau6[Jours Mois]&amp;"/"&amp;Tableau6[[#Headers],[2023]],tabSuiviConso[Jour Mois Année],0)</f>
        <v>#N/A</v>
      </c>
      <c r="K279" s="35" t="e">
        <f>Tableau6[[#This Row],[Cumul 2022]]-Tableau6[[#This Row],[Cumul 2021]]</f>
        <v>#N/A</v>
      </c>
      <c r="L279" s="37" t="e">
        <f>Tableau6[[#This Row],[Ecart 2021 2022]]/Tableau6[[#This Row],[Cumul 2021]]</f>
        <v>#N/A</v>
      </c>
      <c r="M279" s="35" t="str">
        <f>IF(ISNA(Tableau6[[#This Row],[Position 2023]]),"",INDEX(tabSuiviConso[HP + HC
cumul],Tableau6[[#This Row],[Position 2023]],1))</f>
        <v/>
      </c>
      <c r="N279" s="56" t="e">
        <f>IF(ISNA(Tableau6[[#This Row],[Position 2023]]),Tableau6[[#This Row],[Position 2023]],Tableau6[[#This Row],[2023]]-M$2)</f>
        <v>#N/A</v>
      </c>
      <c r="O279" s="35" t="e">
        <f>Tableau6[[#This Row],[Cumul 2023]]-Tableau6[[#This Row],[Cumul 2022]]</f>
        <v>#N/A</v>
      </c>
      <c r="P279" s="37" t="e">
        <f>Tableau6[[#This Row],[Ecart 2022 2023]]/Tableau6[[#This Row],[Cumul 2022]]</f>
        <v>#N/A</v>
      </c>
      <c r="Q279" s="35" t="e">
        <f>MATCH(Tableau6[Jours Mois]&amp;"/"&amp;Tableau6[[#Headers],[2024]],tabSuiviConso[Jour Mois Année],0)</f>
        <v>#N/A</v>
      </c>
      <c r="R279" s="35" t="str">
        <f>IF(ISNA(Tableau6[[#This Row],[Position 2024]]),"",INDEX(tabSuiviConso[HP + HC
cumul],Tableau6[[#This Row],[Position 2024]],1))</f>
        <v/>
      </c>
      <c r="S279" s="56" t="e">
        <f>IF(ISNA(Tableau6[[#This Row],[Position 2024]]),Tableau6[[#This Row],[Position 2024]],Tableau6[[#This Row],[2024]]-R$2)</f>
        <v>#N/A</v>
      </c>
      <c r="T279" s="35" t="e">
        <f>Tableau6[[#This Row],[Cumul 2024]]-Tableau6[[#This Row],[Cumul 2023]]</f>
        <v>#N/A</v>
      </c>
      <c r="U279" s="36" t="e">
        <f>Tableau6[[#This Row],[Ecart 2023 2024]]/Tableau6[[#This Row],[Cumul 2023]]</f>
        <v>#N/A</v>
      </c>
    </row>
    <row r="280" spans="1:21" x14ac:dyDescent="0.2">
      <c r="A280" s="35">
        <v>10</v>
      </c>
      <c r="B280" s="35">
        <v>4</v>
      </c>
      <c r="C280" s="35" t="str">
        <f>Tableau6[Jour]&amp;"/"&amp;Tableau6[Mois]</f>
        <v>4/10</v>
      </c>
      <c r="D280" s="35" t="e">
        <f>MATCH(Tableau6[Jours Mois]&amp;"/"&amp;Tableau6[[#Headers],[2021]],tabSuiviConso[Jour Mois Année],0)</f>
        <v>#N/A</v>
      </c>
      <c r="E280" s="35" t="str">
        <f>IF(ISNA(Tableau6[[#This Row],[Position 2021]]),"",INDEX(tabSuiviConso[HP + HC
cumul],Tableau6[[#This Row],[Position 2021]],1))</f>
        <v/>
      </c>
      <c r="F280" s="56" t="e">
        <f>IF(ISNA(Tableau6[[#This Row],[Position 2021]]),Tableau6[[#This Row],[Position 2021]],Tableau6[[#This Row],[2021]]-E$2)</f>
        <v>#N/A</v>
      </c>
      <c r="G280" s="35" t="e">
        <f>MATCH(Tableau6[Jours Mois]&amp;"/"&amp;Tableau6[[#Headers],[2022]],tabSuiviConso[Jour Mois Année],0)</f>
        <v>#N/A</v>
      </c>
      <c r="H280" s="35" t="str">
        <f>IF(ISNA(Tableau6[[#This Row],[Position 2022]]),"",INDEX(tabSuiviConso[HP + HC
cumul],Tableau6[[#This Row],[Position 2022]],1))</f>
        <v/>
      </c>
      <c r="I280" s="56" t="e">
        <f>IF(ISNA(Tableau6[[#This Row],[Position 2022]]),Tableau6[[#This Row],[Position 2022]],Tableau6[[#This Row],[2022]]-H$2)</f>
        <v>#N/A</v>
      </c>
      <c r="J280" s="35" t="e">
        <f>MATCH(Tableau6[Jours Mois]&amp;"/"&amp;Tableau6[[#Headers],[2023]],tabSuiviConso[Jour Mois Année],0)</f>
        <v>#N/A</v>
      </c>
      <c r="K280" s="35" t="e">
        <f>Tableau6[[#This Row],[Cumul 2022]]-Tableau6[[#This Row],[Cumul 2021]]</f>
        <v>#N/A</v>
      </c>
      <c r="L280" s="37" t="e">
        <f>Tableau6[[#This Row],[Ecart 2021 2022]]/Tableau6[[#This Row],[Cumul 2021]]</f>
        <v>#N/A</v>
      </c>
      <c r="M280" s="35" t="str">
        <f>IF(ISNA(Tableau6[[#This Row],[Position 2023]]),"",INDEX(tabSuiviConso[HP + HC
cumul],Tableau6[[#This Row],[Position 2023]],1))</f>
        <v/>
      </c>
      <c r="N280" s="56" t="e">
        <f>IF(ISNA(Tableau6[[#This Row],[Position 2023]]),Tableau6[[#This Row],[Position 2023]],Tableau6[[#This Row],[2023]]-M$2)</f>
        <v>#N/A</v>
      </c>
      <c r="O280" s="35" t="e">
        <f>Tableau6[[#This Row],[Cumul 2023]]-Tableau6[[#This Row],[Cumul 2022]]</f>
        <v>#N/A</v>
      </c>
      <c r="P280" s="37" t="e">
        <f>Tableau6[[#This Row],[Ecart 2022 2023]]/Tableau6[[#This Row],[Cumul 2022]]</f>
        <v>#N/A</v>
      </c>
      <c r="Q280" s="35" t="e">
        <f>MATCH(Tableau6[Jours Mois]&amp;"/"&amp;Tableau6[[#Headers],[2024]],tabSuiviConso[Jour Mois Année],0)</f>
        <v>#N/A</v>
      </c>
      <c r="R280" s="35" t="str">
        <f>IF(ISNA(Tableau6[[#This Row],[Position 2024]]),"",INDEX(tabSuiviConso[HP + HC
cumul],Tableau6[[#This Row],[Position 2024]],1))</f>
        <v/>
      </c>
      <c r="S280" s="56" t="e">
        <f>IF(ISNA(Tableau6[[#This Row],[Position 2024]]),Tableau6[[#This Row],[Position 2024]],Tableau6[[#This Row],[2024]]-R$2)</f>
        <v>#N/A</v>
      </c>
      <c r="T280" s="35" t="e">
        <f>Tableau6[[#This Row],[Cumul 2024]]-Tableau6[[#This Row],[Cumul 2023]]</f>
        <v>#N/A</v>
      </c>
      <c r="U280" s="36" t="e">
        <f>Tableau6[[#This Row],[Ecart 2023 2024]]/Tableau6[[#This Row],[Cumul 2023]]</f>
        <v>#N/A</v>
      </c>
    </row>
    <row r="281" spans="1:21" x14ac:dyDescent="0.2">
      <c r="A281" s="35">
        <v>10</v>
      </c>
      <c r="B281" s="35">
        <v>5</v>
      </c>
      <c r="C281" s="35" t="str">
        <f>Tableau6[Jour]&amp;"/"&amp;Tableau6[Mois]</f>
        <v>5/10</v>
      </c>
      <c r="D281" s="35" t="e">
        <f>MATCH(Tableau6[Jours Mois]&amp;"/"&amp;Tableau6[[#Headers],[2021]],tabSuiviConso[Jour Mois Année],0)</f>
        <v>#N/A</v>
      </c>
      <c r="E281" s="35" t="str">
        <f>IF(ISNA(Tableau6[[#This Row],[Position 2021]]),"",INDEX(tabSuiviConso[HP + HC
cumul],Tableau6[[#This Row],[Position 2021]],1))</f>
        <v/>
      </c>
      <c r="F281" s="56" t="e">
        <f>IF(ISNA(Tableau6[[#This Row],[Position 2021]]),Tableau6[[#This Row],[Position 2021]],Tableau6[[#This Row],[2021]]-E$2)</f>
        <v>#N/A</v>
      </c>
      <c r="G281" s="35" t="e">
        <f>MATCH(Tableau6[Jours Mois]&amp;"/"&amp;Tableau6[[#Headers],[2022]],tabSuiviConso[Jour Mois Année],0)</f>
        <v>#N/A</v>
      </c>
      <c r="H281" s="35" t="str">
        <f>IF(ISNA(Tableau6[[#This Row],[Position 2022]]),"",INDEX(tabSuiviConso[HP + HC
cumul],Tableau6[[#This Row],[Position 2022]],1))</f>
        <v/>
      </c>
      <c r="I281" s="56" t="e">
        <f>IF(ISNA(Tableau6[[#This Row],[Position 2022]]),Tableau6[[#This Row],[Position 2022]],Tableau6[[#This Row],[2022]]-H$2)</f>
        <v>#N/A</v>
      </c>
      <c r="J281" s="35" t="e">
        <f>MATCH(Tableau6[Jours Mois]&amp;"/"&amp;Tableau6[[#Headers],[2023]],tabSuiviConso[Jour Mois Année],0)</f>
        <v>#N/A</v>
      </c>
      <c r="K281" s="35" t="e">
        <f>Tableau6[[#This Row],[Cumul 2022]]-Tableau6[[#This Row],[Cumul 2021]]</f>
        <v>#N/A</v>
      </c>
      <c r="L281" s="37" t="e">
        <f>Tableau6[[#This Row],[Ecart 2021 2022]]/Tableau6[[#This Row],[Cumul 2021]]</f>
        <v>#N/A</v>
      </c>
      <c r="M281" s="35" t="str">
        <f>IF(ISNA(Tableau6[[#This Row],[Position 2023]]),"",INDEX(tabSuiviConso[HP + HC
cumul],Tableau6[[#This Row],[Position 2023]],1))</f>
        <v/>
      </c>
      <c r="N281" s="56" t="e">
        <f>IF(ISNA(Tableau6[[#This Row],[Position 2023]]),Tableau6[[#This Row],[Position 2023]],Tableau6[[#This Row],[2023]]-M$2)</f>
        <v>#N/A</v>
      </c>
      <c r="O281" s="35" t="e">
        <f>Tableau6[[#This Row],[Cumul 2023]]-Tableau6[[#This Row],[Cumul 2022]]</f>
        <v>#N/A</v>
      </c>
      <c r="P281" s="37" t="e">
        <f>Tableau6[[#This Row],[Ecart 2022 2023]]/Tableau6[[#This Row],[Cumul 2022]]</f>
        <v>#N/A</v>
      </c>
      <c r="Q281" s="35" t="e">
        <f>MATCH(Tableau6[Jours Mois]&amp;"/"&amp;Tableau6[[#Headers],[2024]],tabSuiviConso[Jour Mois Année],0)</f>
        <v>#N/A</v>
      </c>
      <c r="R281" s="35" t="str">
        <f>IF(ISNA(Tableau6[[#This Row],[Position 2024]]),"",INDEX(tabSuiviConso[HP + HC
cumul],Tableau6[[#This Row],[Position 2024]],1))</f>
        <v/>
      </c>
      <c r="S281" s="56" t="e">
        <f>IF(ISNA(Tableau6[[#This Row],[Position 2024]]),Tableau6[[#This Row],[Position 2024]],Tableau6[[#This Row],[2024]]-R$2)</f>
        <v>#N/A</v>
      </c>
      <c r="T281" s="35" t="e">
        <f>Tableau6[[#This Row],[Cumul 2024]]-Tableau6[[#This Row],[Cumul 2023]]</f>
        <v>#N/A</v>
      </c>
      <c r="U281" s="36" t="e">
        <f>Tableau6[[#This Row],[Ecart 2023 2024]]/Tableau6[[#This Row],[Cumul 2023]]</f>
        <v>#N/A</v>
      </c>
    </row>
    <row r="282" spans="1:21" x14ac:dyDescent="0.2">
      <c r="A282" s="35">
        <v>10</v>
      </c>
      <c r="B282" s="35">
        <v>6</v>
      </c>
      <c r="C282" s="35" t="str">
        <f>Tableau6[Jour]&amp;"/"&amp;Tableau6[Mois]</f>
        <v>6/10</v>
      </c>
      <c r="D282" s="35" t="e">
        <f>MATCH(Tableau6[Jours Mois]&amp;"/"&amp;Tableau6[[#Headers],[2021]],tabSuiviConso[Jour Mois Année],0)</f>
        <v>#N/A</v>
      </c>
      <c r="E282" s="35" t="str">
        <f>IF(ISNA(Tableau6[[#This Row],[Position 2021]]),"",INDEX(tabSuiviConso[HP + HC
cumul],Tableau6[[#This Row],[Position 2021]],1))</f>
        <v/>
      </c>
      <c r="F282" s="56" t="e">
        <f>IF(ISNA(Tableau6[[#This Row],[Position 2021]]),Tableau6[[#This Row],[Position 2021]],Tableau6[[#This Row],[2021]]-E$2)</f>
        <v>#N/A</v>
      </c>
      <c r="G282" s="35" t="e">
        <f>MATCH(Tableau6[Jours Mois]&amp;"/"&amp;Tableau6[[#Headers],[2022]],tabSuiviConso[Jour Mois Année],0)</f>
        <v>#N/A</v>
      </c>
      <c r="H282" s="35" t="str">
        <f>IF(ISNA(Tableau6[[#This Row],[Position 2022]]),"",INDEX(tabSuiviConso[HP + HC
cumul],Tableau6[[#This Row],[Position 2022]],1))</f>
        <v/>
      </c>
      <c r="I282" s="56" t="e">
        <f>IF(ISNA(Tableau6[[#This Row],[Position 2022]]),Tableau6[[#This Row],[Position 2022]],Tableau6[[#This Row],[2022]]-H$2)</f>
        <v>#N/A</v>
      </c>
      <c r="J282" s="35" t="e">
        <f>MATCH(Tableau6[Jours Mois]&amp;"/"&amp;Tableau6[[#Headers],[2023]],tabSuiviConso[Jour Mois Année],0)</f>
        <v>#N/A</v>
      </c>
      <c r="K282" s="35" t="e">
        <f>Tableau6[[#This Row],[Cumul 2022]]-Tableau6[[#This Row],[Cumul 2021]]</f>
        <v>#N/A</v>
      </c>
      <c r="L282" s="37" t="e">
        <f>Tableau6[[#This Row],[Ecart 2021 2022]]/Tableau6[[#This Row],[Cumul 2021]]</f>
        <v>#N/A</v>
      </c>
      <c r="M282" s="35" t="str">
        <f>IF(ISNA(Tableau6[[#This Row],[Position 2023]]),"",INDEX(tabSuiviConso[HP + HC
cumul],Tableau6[[#This Row],[Position 2023]],1))</f>
        <v/>
      </c>
      <c r="N282" s="56" t="e">
        <f>IF(ISNA(Tableau6[[#This Row],[Position 2023]]),Tableau6[[#This Row],[Position 2023]],Tableau6[[#This Row],[2023]]-M$2)</f>
        <v>#N/A</v>
      </c>
      <c r="O282" s="35" t="e">
        <f>Tableau6[[#This Row],[Cumul 2023]]-Tableau6[[#This Row],[Cumul 2022]]</f>
        <v>#N/A</v>
      </c>
      <c r="P282" s="37" t="e">
        <f>Tableau6[[#This Row],[Ecart 2022 2023]]/Tableau6[[#This Row],[Cumul 2022]]</f>
        <v>#N/A</v>
      </c>
      <c r="Q282" s="35" t="e">
        <f>MATCH(Tableau6[Jours Mois]&amp;"/"&amp;Tableau6[[#Headers],[2024]],tabSuiviConso[Jour Mois Année],0)</f>
        <v>#N/A</v>
      </c>
      <c r="R282" s="35" t="str">
        <f>IF(ISNA(Tableau6[[#This Row],[Position 2024]]),"",INDEX(tabSuiviConso[HP + HC
cumul],Tableau6[[#This Row],[Position 2024]],1))</f>
        <v/>
      </c>
      <c r="S282" s="56" t="e">
        <f>IF(ISNA(Tableau6[[#This Row],[Position 2024]]),Tableau6[[#This Row],[Position 2024]],Tableau6[[#This Row],[2024]]-R$2)</f>
        <v>#N/A</v>
      </c>
      <c r="T282" s="35" t="e">
        <f>Tableau6[[#This Row],[Cumul 2024]]-Tableau6[[#This Row],[Cumul 2023]]</f>
        <v>#N/A</v>
      </c>
      <c r="U282" s="36" t="e">
        <f>Tableau6[[#This Row],[Ecart 2023 2024]]/Tableau6[[#This Row],[Cumul 2023]]</f>
        <v>#N/A</v>
      </c>
    </row>
    <row r="283" spans="1:21" x14ac:dyDescent="0.2">
      <c r="A283" s="35">
        <v>10</v>
      </c>
      <c r="B283" s="35">
        <v>7</v>
      </c>
      <c r="C283" s="35" t="str">
        <f>Tableau6[Jour]&amp;"/"&amp;Tableau6[Mois]</f>
        <v>7/10</v>
      </c>
      <c r="D283" s="35" t="e">
        <f>MATCH(Tableau6[Jours Mois]&amp;"/"&amp;Tableau6[[#Headers],[2021]],tabSuiviConso[Jour Mois Année],0)</f>
        <v>#N/A</v>
      </c>
      <c r="E283" s="35" t="str">
        <f>IF(ISNA(Tableau6[[#This Row],[Position 2021]]),"",INDEX(tabSuiviConso[HP + HC
cumul],Tableau6[[#This Row],[Position 2021]],1))</f>
        <v/>
      </c>
      <c r="F283" s="56" t="e">
        <f>IF(ISNA(Tableau6[[#This Row],[Position 2021]]),Tableau6[[#This Row],[Position 2021]],Tableau6[[#This Row],[2021]]-E$2)</f>
        <v>#N/A</v>
      </c>
      <c r="G283" s="35" t="e">
        <f>MATCH(Tableau6[Jours Mois]&amp;"/"&amp;Tableau6[[#Headers],[2022]],tabSuiviConso[Jour Mois Année],0)</f>
        <v>#N/A</v>
      </c>
      <c r="H283" s="35" t="str">
        <f>IF(ISNA(Tableau6[[#This Row],[Position 2022]]),"",INDEX(tabSuiviConso[HP + HC
cumul],Tableau6[[#This Row],[Position 2022]],1))</f>
        <v/>
      </c>
      <c r="I283" s="56" t="e">
        <f>IF(ISNA(Tableau6[[#This Row],[Position 2022]]),Tableau6[[#This Row],[Position 2022]],Tableau6[[#This Row],[2022]]-H$2)</f>
        <v>#N/A</v>
      </c>
      <c r="J283" s="35" t="e">
        <f>MATCH(Tableau6[Jours Mois]&amp;"/"&amp;Tableau6[[#Headers],[2023]],tabSuiviConso[Jour Mois Année],0)</f>
        <v>#N/A</v>
      </c>
      <c r="K283" s="35" t="e">
        <f>Tableau6[[#This Row],[Cumul 2022]]-Tableau6[[#This Row],[Cumul 2021]]</f>
        <v>#N/A</v>
      </c>
      <c r="L283" s="37" t="e">
        <f>Tableau6[[#This Row],[Ecart 2021 2022]]/Tableau6[[#This Row],[Cumul 2021]]</f>
        <v>#N/A</v>
      </c>
      <c r="M283" s="35" t="str">
        <f>IF(ISNA(Tableau6[[#This Row],[Position 2023]]),"",INDEX(tabSuiviConso[HP + HC
cumul],Tableau6[[#This Row],[Position 2023]],1))</f>
        <v/>
      </c>
      <c r="N283" s="56" t="e">
        <f>IF(ISNA(Tableau6[[#This Row],[Position 2023]]),Tableau6[[#This Row],[Position 2023]],Tableau6[[#This Row],[2023]]-M$2)</f>
        <v>#N/A</v>
      </c>
      <c r="O283" s="35" t="e">
        <f>Tableau6[[#This Row],[Cumul 2023]]-Tableau6[[#This Row],[Cumul 2022]]</f>
        <v>#N/A</v>
      </c>
      <c r="P283" s="37" t="e">
        <f>Tableau6[[#This Row],[Ecart 2022 2023]]/Tableau6[[#This Row],[Cumul 2022]]</f>
        <v>#N/A</v>
      </c>
      <c r="Q283" s="35" t="e">
        <f>MATCH(Tableau6[Jours Mois]&amp;"/"&amp;Tableau6[[#Headers],[2024]],tabSuiviConso[Jour Mois Année],0)</f>
        <v>#N/A</v>
      </c>
      <c r="R283" s="35" t="str">
        <f>IF(ISNA(Tableau6[[#This Row],[Position 2024]]),"",INDEX(tabSuiviConso[HP + HC
cumul],Tableau6[[#This Row],[Position 2024]],1))</f>
        <v/>
      </c>
      <c r="S283" s="56" t="e">
        <f>IF(ISNA(Tableau6[[#This Row],[Position 2024]]),Tableau6[[#This Row],[Position 2024]],Tableau6[[#This Row],[2024]]-R$2)</f>
        <v>#N/A</v>
      </c>
      <c r="T283" s="35" t="e">
        <f>Tableau6[[#This Row],[Cumul 2024]]-Tableau6[[#This Row],[Cumul 2023]]</f>
        <v>#N/A</v>
      </c>
      <c r="U283" s="36" t="e">
        <f>Tableau6[[#This Row],[Ecart 2023 2024]]/Tableau6[[#This Row],[Cumul 2023]]</f>
        <v>#N/A</v>
      </c>
    </row>
    <row r="284" spans="1:21" x14ac:dyDescent="0.2">
      <c r="A284" s="35">
        <v>10</v>
      </c>
      <c r="B284" s="35">
        <v>8</v>
      </c>
      <c r="C284" s="35" t="str">
        <f>Tableau6[Jour]&amp;"/"&amp;Tableau6[Mois]</f>
        <v>8/10</v>
      </c>
      <c r="D284" s="35" t="e">
        <f>MATCH(Tableau6[Jours Mois]&amp;"/"&amp;Tableau6[[#Headers],[2021]],tabSuiviConso[Jour Mois Année],0)</f>
        <v>#N/A</v>
      </c>
      <c r="E284" s="35" t="str">
        <f>IF(ISNA(Tableau6[[#This Row],[Position 2021]]),"",INDEX(tabSuiviConso[HP + HC
cumul],Tableau6[[#This Row],[Position 2021]],1))</f>
        <v/>
      </c>
      <c r="F284" s="56" t="e">
        <f>IF(ISNA(Tableau6[[#This Row],[Position 2021]]),Tableau6[[#This Row],[Position 2021]],Tableau6[[#This Row],[2021]]-E$2)</f>
        <v>#N/A</v>
      </c>
      <c r="G284" s="35" t="e">
        <f>MATCH(Tableau6[Jours Mois]&amp;"/"&amp;Tableau6[[#Headers],[2022]],tabSuiviConso[Jour Mois Année],0)</f>
        <v>#N/A</v>
      </c>
      <c r="H284" s="35" t="str">
        <f>IF(ISNA(Tableau6[[#This Row],[Position 2022]]),"",INDEX(tabSuiviConso[HP + HC
cumul],Tableau6[[#This Row],[Position 2022]],1))</f>
        <v/>
      </c>
      <c r="I284" s="56" t="e">
        <f>IF(ISNA(Tableau6[[#This Row],[Position 2022]]),Tableau6[[#This Row],[Position 2022]],Tableau6[[#This Row],[2022]]-H$2)</f>
        <v>#N/A</v>
      </c>
      <c r="J284" s="35" t="e">
        <f>MATCH(Tableau6[Jours Mois]&amp;"/"&amp;Tableau6[[#Headers],[2023]],tabSuiviConso[Jour Mois Année],0)</f>
        <v>#N/A</v>
      </c>
      <c r="K284" s="35" t="e">
        <f>Tableau6[[#This Row],[Cumul 2022]]-Tableau6[[#This Row],[Cumul 2021]]</f>
        <v>#N/A</v>
      </c>
      <c r="L284" s="37" t="e">
        <f>Tableau6[[#This Row],[Ecart 2021 2022]]/Tableau6[[#This Row],[Cumul 2021]]</f>
        <v>#N/A</v>
      </c>
      <c r="M284" s="35" t="str">
        <f>IF(ISNA(Tableau6[[#This Row],[Position 2023]]),"",INDEX(tabSuiviConso[HP + HC
cumul],Tableau6[[#This Row],[Position 2023]],1))</f>
        <v/>
      </c>
      <c r="N284" s="56" t="e">
        <f>IF(ISNA(Tableau6[[#This Row],[Position 2023]]),Tableau6[[#This Row],[Position 2023]],Tableau6[[#This Row],[2023]]-M$2)</f>
        <v>#N/A</v>
      </c>
      <c r="O284" s="35" t="e">
        <f>Tableau6[[#This Row],[Cumul 2023]]-Tableau6[[#This Row],[Cumul 2022]]</f>
        <v>#N/A</v>
      </c>
      <c r="P284" s="37" t="e">
        <f>Tableau6[[#This Row],[Ecart 2022 2023]]/Tableau6[[#This Row],[Cumul 2022]]</f>
        <v>#N/A</v>
      </c>
      <c r="Q284" s="35" t="e">
        <f>MATCH(Tableau6[Jours Mois]&amp;"/"&amp;Tableau6[[#Headers],[2024]],tabSuiviConso[Jour Mois Année],0)</f>
        <v>#N/A</v>
      </c>
      <c r="R284" s="35" t="str">
        <f>IF(ISNA(Tableau6[[#This Row],[Position 2024]]),"",INDEX(tabSuiviConso[HP + HC
cumul],Tableau6[[#This Row],[Position 2024]],1))</f>
        <v/>
      </c>
      <c r="S284" s="56" t="e">
        <f>IF(ISNA(Tableau6[[#This Row],[Position 2024]]),Tableau6[[#This Row],[Position 2024]],Tableau6[[#This Row],[2024]]-R$2)</f>
        <v>#N/A</v>
      </c>
      <c r="T284" s="35" t="e">
        <f>Tableau6[[#This Row],[Cumul 2024]]-Tableau6[[#This Row],[Cumul 2023]]</f>
        <v>#N/A</v>
      </c>
      <c r="U284" s="36" t="e">
        <f>Tableau6[[#This Row],[Ecart 2023 2024]]/Tableau6[[#This Row],[Cumul 2023]]</f>
        <v>#N/A</v>
      </c>
    </row>
    <row r="285" spans="1:21" x14ac:dyDescent="0.2">
      <c r="A285" s="35">
        <v>10</v>
      </c>
      <c r="B285" s="35">
        <v>9</v>
      </c>
      <c r="C285" s="35" t="str">
        <f>Tableau6[Jour]&amp;"/"&amp;Tableau6[Mois]</f>
        <v>9/10</v>
      </c>
      <c r="D285" s="35" t="e">
        <f>MATCH(Tableau6[Jours Mois]&amp;"/"&amp;Tableau6[[#Headers],[2021]],tabSuiviConso[Jour Mois Année],0)</f>
        <v>#N/A</v>
      </c>
      <c r="E285" s="35" t="str">
        <f>IF(ISNA(Tableau6[[#This Row],[Position 2021]]),"",INDEX(tabSuiviConso[HP + HC
cumul],Tableau6[[#This Row],[Position 2021]],1))</f>
        <v/>
      </c>
      <c r="F285" s="56" t="e">
        <f>IF(ISNA(Tableau6[[#This Row],[Position 2021]]),Tableau6[[#This Row],[Position 2021]],Tableau6[[#This Row],[2021]]-E$2)</f>
        <v>#N/A</v>
      </c>
      <c r="G285" s="35" t="e">
        <f>MATCH(Tableau6[Jours Mois]&amp;"/"&amp;Tableau6[[#Headers],[2022]],tabSuiviConso[Jour Mois Année],0)</f>
        <v>#N/A</v>
      </c>
      <c r="H285" s="35" t="str">
        <f>IF(ISNA(Tableau6[[#This Row],[Position 2022]]),"",INDEX(tabSuiviConso[HP + HC
cumul],Tableau6[[#This Row],[Position 2022]],1))</f>
        <v/>
      </c>
      <c r="I285" s="56" t="e">
        <f>IF(ISNA(Tableau6[[#This Row],[Position 2022]]),Tableau6[[#This Row],[Position 2022]],Tableau6[[#This Row],[2022]]-H$2)</f>
        <v>#N/A</v>
      </c>
      <c r="J285" s="35" t="e">
        <f>MATCH(Tableau6[Jours Mois]&amp;"/"&amp;Tableau6[[#Headers],[2023]],tabSuiviConso[Jour Mois Année],0)</f>
        <v>#N/A</v>
      </c>
      <c r="K285" s="35" t="e">
        <f>Tableau6[[#This Row],[Cumul 2022]]-Tableau6[[#This Row],[Cumul 2021]]</f>
        <v>#N/A</v>
      </c>
      <c r="L285" s="37" t="e">
        <f>Tableau6[[#This Row],[Ecart 2021 2022]]/Tableau6[[#This Row],[Cumul 2021]]</f>
        <v>#N/A</v>
      </c>
      <c r="M285" s="35" t="str">
        <f>IF(ISNA(Tableau6[[#This Row],[Position 2023]]),"",INDEX(tabSuiviConso[HP + HC
cumul],Tableau6[[#This Row],[Position 2023]],1))</f>
        <v/>
      </c>
      <c r="N285" s="56" t="e">
        <f>IF(ISNA(Tableau6[[#This Row],[Position 2023]]),Tableau6[[#This Row],[Position 2023]],Tableau6[[#This Row],[2023]]-M$2)</f>
        <v>#N/A</v>
      </c>
      <c r="O285" s="35" t="e">
        <f>Tableau6[[#This Row],[Cumul 2023]]-Tableau6[[#This Row],[Cumul 2022]]</f>
        <v>#N/A</v>
      </c>
      <c r="P285" s="37" t="e">
        <f>Tableau6[[#This Row],[Ecart 2022 2023]]/Tableau6[[#This Row],[Cumul 2022]]</f>
        <v>#N/A</v>
      </c>
      <c r="Q285" s="35" t="e">
        <f>MATCH(Tableau6[Jours Mois]&amp;"/"&amp;Tableau6[[#Headers],[2024]],tabSuiviConso[Jour Mois Année],0)</f>
        <v>#N/A</v>
      </c>
      <c r="R285" s="35" t="str">
        <f>IF(ISNA(Tableau6[[#This Row],[Position 2024]]),"",INDEX(tabSuiviConso[HP + HC
cumul],Tableau6[[#This Row],[Position 2024]],1))</f>
        <v/>
      </c>
      <c r="S285" s="56" t="e">
        <f>IF(ISNA(Tableau6[[#This Row],[Position 2024]]),Tableau6[[#This Row],[Position 2024]],Tableau6[[#This Row],[2024]]-R$2)</f>
        <v>#N/A</v>
      </c>
      <c r="T285" s="35" t="e">
        <f>Tableau6[[#This Row],[Cumul 2024]]-Tableau6[[#This Row],[Cumul 2023]]</f>
        <v>#N/A</v>
      </c>
      <c r="U285" s="36" t="e">
        <f>Tableau6[[#This Row],[Ecart 2023 2024]]/Tableau6[[#This Row],[Cumul 2023]]</f>
        <v>#N/A</v>
      </c>
    </row>
    <row r="286" spans="1:21" x14ac:dyDescent="0.2">
      <c r="A286" s="35">
        <v>10</v>
      </c>
      <c r="B286" s="35">
        <v>10</v>
      </c>
      <c r="C286" s="35" t="str">
        <f>Tableau6[Jour]&amp;"/"&amp;Tableau6[Mois]</f>
        <v>10/10</v>
      </c>
      <c r="D286" s="35" t="e">
        <f>MATCH(Tableau6[Jours Mois]&amp;"/"&amp;Tableau6[[#Headers],[2021]],tabSuiviConso[Jour Mois Année],0)</f>
        <v>#N/A</v>
      </c>
      <c r="E286" s="35" t="str">
        <f>IF(ISNA(Tableau6[[#This Row],[Position 2021]]),"",INDEX(tabSuiviConso[HP + HC
cumul],Tableau6[[#This Row],[Position 2021]],1))</f>
        <v/>
      </c>
      <c r="F286" s="56" t="e">
        <f>IF(ISNA(Tableau6[[#This Row],[Position 2021]]),Tableau6[[#This Row],[Position 2021]],Tableau6[[#This Row],[2021]]-E$2)</f>
        <v>#N/A</v>
      </c>
      <c r="G286" s="35" t="e">
        <f>MATCH(Tableau6[Jours Mois]&amp;"/"&amp;Tableau6[[#Headers],[2022]],tabSuiviConso[Jour Mois Année],0)</f>
        <v>#N/A</v>
      </c>
      <c r="H286" s="35" t="str">
        <f>IF(ISNA(Tableau6[[#This Row],[Position 2022]]),"",INDEX(tabSuiviConso[HP + HC
cumul],Tableau6[[#This Row],[Position 2022]],1))</f>
        <v/>
      </c>
      <c r="I286" s="56" t="e">
        <f>IF(ISNA(Tableau6[[#This Row],[Position 2022]]),Tableau6[[#This Row],[Position 2022]],Tableau6[[#This Row],[2022]]-H$2)</f>
        <v>#N/A</v>
      </c>
      <c r="J286" s="35" t="e">
        <f>MATCH(Tableau6[Jours Mois]&amp;"/"&amp;Tableau6[[#Headers],[2023]],tabSuiviConso[Jour Mois Année],0)</f>
        <v>#N/A</v>
      </c>
      <c r="K286" s="35" t="e">
        <f>Tableau6[[#This Row],[Cumul 2022]]-Tableau6[[#This Row],[Cumul 2021]]</f>
        <v>#N/A</v>
      </c>
      <c r="L286" s="37" t="e">
        <f>Tableau6[[#This Row],[Ecart 2021 2022]]/Tableau6[[#This Row],[Cumul 2021]]</f>
        <v>#N/A</v>
      </c>
      <c r="M286" s="35" t="str">
        <f>IF(ISNA(Tableau6[[#This Row],[Position 2023]]),"",INDEX(tabSuiviConso[HP + HC
cumul],Tableau6[[#This Row],[Position 2023]],1))</f>
        <v/>
      </c>
      <c r="N286" s="56" t="e">
        <f>IF(ISNA(Tableau6[[#This Row],[Position 2023]]),Tableau6[[#This Row],[Position 2023]],Tableau6[[#This Row],[2023]]-M$2)</f>
        <v>#N/A</v>
      </c>
      <c r="O286" s="35" t="e">
        <f>Tableau6[[#This Row],[Cumul 2023]]-Tableau6[[#This Row],[Cumul 2022]]</f>
        <v>#N/A</v>
      </c>
      <c r="P286" s="37" t="e">
        <f>Tableau6[[#This Row],[Ecart 2022 2023]]/Tableau6[[#This Row],[Cumul 2022]]</f>
        <v>#N/A</v>
      </c>
      <c r="Q286" s="35" t="e">
        <f>MATCH(Tableau6[Jours Mois]&amp;"/"&amp;Tableau6[[#Headers],[2024]],tabSuiviConso[Jour Mois Année],0)</f>
        <v>#N/A</v>
      </c>
      <c r="R286" s="35" t="str">
        <f>IF(ISNA(Tableau6[[#This Row],[Position 2024]]),"",INDEX(tabSuiviConso[HP + HC
cumul],Tableau6[[#This Row],[Position 2024]],1))</f>
        <v/>
      </c>
      <c r="S286" s="56" t="e">
        <f>IF(ISNA(Tableau6[[#This Row],[Position 2024]]),Tableau6[[#This Row],[Position 2024]],Tableau6[[#This Row],[2024]]-R$2)</f>
        <v>#N/A</v>
      </c>
      <c r="T286" s="35" t="e">
        <f>Tableau6[[#This Row],[Cumul 2024]]-Tableau6[[#This Row],[Cumul 2023]]</f>
        <v>#N/A</v>
      </c>
      <c r="U286" s="36" t="e">
        <f>Tableau6[[#This Row],[Ecart 2023 2024]]/Tableau6[[#This Row],[Cumul 2023]]</f>
        <v>#N/A</v>
      </c>
    </row>
    <row r="287" spans="1:21" x14ac:dyDescent="0.2">
      <c r="A287" s="35">
        <v>10</v>
      </c>
      <c r="B287" s="35">
        <v>11</v>
      </c>
      <c r="C287" s="35" t="str">
        <f>Tableau6[Jour]&amp;"/"&amp;Tableau6[Mois]</f>
        <v>11/10</v>
      </c>
      <c r="D287" s="35" t="e">
        <f>MATCH(Tableau6[Jours Mois]&amp;"/"&amp;Tableau6[[#Headers],[2021]],tabSuiviConso[Jour Mois Année],0)</f>
        <v>#N/A</v>
      </c>
      <c r="E287" s="35" t="str">
        <f>IF(ISNA(Tableau6[[#This Row],[Position 2021]]),"",INDEX(tabSuiviConso[HP + HC
cumul],Tableau6[[#This Row],[Position 2021]],1))</f>
        <v/>
      </c>
      <c r="F287" s="56" t="e">
        <f>IF(ISNA(Tableau6[[#This Row],[Position 2021]]),Tableau6[[#This Row],[Position 2021]],Tableau6[[#This Row],[2021]]-E$2)</f>
        <v>#N/A</v>
      </c>
      <c r="G287" s="35" t="e">
        <f>MATCH(Tableau6[Jours Mois]&amp;"/"&amp;Tableau6[[#Headers],[2022]],tabSuiviConso[Jour Mois Année],0)</f>
        <v>#N/A</v>
      </c>
      <c r="H287" s="35" t="str">
        <f>IF(ISNA(Tableau6[[#This Row],[Position 2022]]),"",INDEX(tabSuiviConso[HP + HC
cumul],Tableau6[[#This Row],[Position 2022]],1))</f>
        <v/>
      </c>
      <c r="I287" s="56" t="e">
        <f>IF(ISNA(Tableau6[[#This Row],[Position 2022]]),Tableau6[[#This Row],[Position 2022]],Tableau6[[#This Row],[2022]]-H$2)</f>
        <v>#N/A</v>
      </c>
      <c r="J287" s="35" t="e">
        <f>MATCH(Tableau6[Jours Mois]&amp;"/"&amp;Tableau6[[#Headers],[2023]],tabSuiviConso[Jour Mois Année],0)</f>
        <v>#N/A</v>
      </c>
      <c r="K287" s="35" t="e">
        <f>Tableau6[[#This Row],[Cumul 2022]]-Tableau6[[#This Row],[Cumul 2021]]</f>
        <v>#N/A</v>
      </c>
      <c r="L287" s="37" t="e">
        <f>Tableau6[[#This Row],[Ecart 2021 2022]]/Tableau6[[#This Row],[Cumul 2021]]</f>
        <v>#N/A</v>
      </c>
      <c r="M287" s="35" t="str">
        <f>IF(ISNA(Tableau6[[#This Row],[Position 2023]]),"",INDEX(tabSuiviConso[HP + HC
cumul],Tableau6[[#This Row],[Position 2023]],1))</f>
        <v/>
      </c>
      <c r="N287" s="56" t="e">
        <f>IF(ISNA(Tableau6[[#This Row],[Position 2023]]),Tableau6[[#This Row],[Position 2023]],Tableau6[[#This Row],[2023]]-M$2)</f>
        <v>#N/A</v>
      </c>
      <c r="O287" s="35" t="e">
        <f>Tableau6[[#This Row],[Cumul 2023]]-Tableau6[[#This Row],[Cumul 2022]]</f>
        <v>#N/A</v>
      </c>
      <c r="P287" s="37" t="e">
        <f>Tableau6[[#This Row],[Ecart 2022 2023]]/Tableau6[[#This Row],[Cumul 2022]]</f>
        <v>#N/A</v>
      </c>
      <c r="Q287" s="35" t="e">
        <f>MATCH(Tableau6[Jours Mois]&amp;"/"&amp;Tableau6[[#Headers],[2024]],tabSuiviConso[Jour Mois Année],0)</f>
        <v>#N/A</v>
      </c>
      <c r="R287" s="35" t="str">
        <f>IF(ISNA(Tableau6[[#This Row],[Position 2024]]),"",INDEX(tabSuiviConso[HP + HC
cumul],Tableau6[[#This Row],[Position 2024]],1))</f>
        <v/>
      </c>
      <c r="S287" s="56" t="e">
        <f>IF(ISNA(Tableau6[[#This Row],[Position 2024]]),Tableau6[[#This Row],[Position 2024]],Tableau6[[#This Row],[2024]]-R$2)</f>
        <v>#N/A</v>
      </c>
      <c r="T287" s="35" t="e">
        <f>Tableau6[[#This Row],[Cumul 2024]]-Tableau6[[#This Row],[Cumul 2023]]</f>
        <v>#N/A</v>
      </c>
      <c r="U287" s="36" t="e">
        <f>Tableau6[[#This Row],[Ecart 2023 2024]]/Tableau6[[#This Row],[Cumul 2023]]</f>
        <v>#N/A</v>
      </c>
    </row>
    <row r="288" spans="1:21" x14ac:dyDescent="0.2">
      <c r="A288" s="35">
        <v>10</v>
      </c>
      <c r="B288" s="35">
        <v>12</v>
      </c>
      <c r="C288" s="35" t="str">
        <f>Tableau6[Jour]&amp;"/"&amp;Tableau6[Mois]</f>
        <v>12/10</v>
      </c>
      <c r="D288" s="35" t="e">
        <f>MATCH(Tableau6[Jours Mois]&amp;"/"&amp;Tableau6[[#Headers],[2021]],tabSuiviConso[Jour Mois Année],0)</f>
        <v>#N/A</v>
      </c>
      <c r="E288" s="35" t="str">
        <f>IF(ISNA(Tableau6[[#This Row],[Position 2021]]),"",INDEX(tabSuiviConso[HP + HC
cumul],Tableau6[[#This Row],[Position 2021]],1))</f>
        <v/>
      </c>
      <c r="F288" s="56" t="e">
        <f>IF(ISNA(Tableau6[[#This Row],[Position 2021]]),Tableau6[[#This Row],[Position 2021]],Tableau6[[#This Row],[2021]]-E$2)</f>
        <v>#N/A</v>
      </c>
      <c r="G288" s="35" t="e">
        <f>MATCH(Tableau6[Jours Mois]&amp;"/"&amp;Tableau6[[#Headers],[2022]],tabSuiviConso[Jour Mois Année],0)</f>
        <v>#N/A</v>
      </c>
      <c r="H288" s="35" t="str">
        <f>IF(ISNA(Tableau6[[#This Row],[Position 2022]]),"",INDEX(tabSuiviConso[HP + HC
cumul],Tableau6[[#This Row],[Position 2022]],1))</f>
        <v/>
      </c>
      <c r="I288" s="56" t="e">
        <f>IF(ISNA(Tableau6[[#This Row],[Position 2022]]),Tableau6[[#This Row],[Position 2022]],Tableau6[[#This Row],[2022]]-H$2)</f>
        <v>#N/A</v>
      </c>
      <c r="J288" s="35" t="e">
        <f>MATCH(Tableau6[Jours Mois]&amp;"/"&amp;Tableau6[[#Headers],[2023]],tabSuiviConso[Jour Mois Année],0)</f>
        <v>#N/A</v>
      </c>
      <c r="K288" s="35" t="e">
        <f>Tableau6[[#This Row],[Cumul 2022]]-Tableau6[[#This Row],[Cumul 2021]]</f>
        <v>#N/A</v>
      </c>
      <c r="L288" s="37" t="e">
        <f>Tableau6[[#This Row],[Ecart 2021 2022]]/Tableau6[[#This Row],[Cumul 2021]]</f>
        <v>#N/A</v>
      </c>
      <c r="M288" s="35" t="str">
        <f>IF(ISNA(Tableau6[[#This Row],[Position 2023]]),"",INDEX(tabSuiviConso[HP + HC
cumul],Tableau6[[#This Row],[Position 2023]],1))</f>
        <v/>
      </c>
      <c r="N288" s="56" t="e">
        <f>IF(ISNA(Tableau6[[#This Row],[Position 2023]]),Tableau6[[#This Row],[Position 2023]],Tableau6[[#This Row],[2023]]-M$2)</f>
        <v>#N/A</v>
      </c>
      <c r="O288" s="35" t="e">
        <f>Tableau6[[#This Row],[Cumul 2023]]-Tableau6[[#This Row],[Cumul 2022]]</f>
        <v>#N/A</v>
      </c>
      <c r="P288" s="37" t="e">
        <f>Tableau6[[#This Row],[Ecart 2022 2023]]/Tableau6[[#This Row],[Cumul 2022]]</f>
        <v>#N/A</v>
      </c>
      <c r="Q288" s="35" t="e">
        <f>MATCH(Tableau6[Jours Mois]&amp;"/"&amp;Tableau6[[#Headers],[2024]],tabSuiviConso[Jour Mois Année],0)</f>
        <v>#N/A</v>
      </c>
      <c r="R288" s="35" t="str">
        <f>IF(ISNA(Tableau6[[#This Row],[Position 2024]]),"",INDEX(tabSuiviConso[HP + HC
cumul],Tableau6[[#This Row],[Position 2024]],1))</f>
        <v/>
      </c>
      <c r="S288" s="56" t="e">
        <f>IF(ISNA(Tableau6[[#This Row],[Position 2024]]),Tableau6[[#This Row],[Position 2024]],Tableau6[[#This Row],[2024]]-R$2)</f>
        <v>#N/A</v>
      </c>
      <c r="T288" s="35" t="e">
        <f>Tableau6[[#This Row],[Cumul 2024]]-Tableau6[[#This Row],[Cumul 2023]]</f>
        <v>#N/A</v>
      </c>
      <c r="U288" s="36" t="e">
        <f>Tableau6[[#This Row],[Ecart 2023 2024]]/Tableau6[[#This Row],[Cumul 2023]]</f>
        <v>#N/A</v>
      </c>
    </row>
    <row r="289" spans="1:21" x14ac:dyDescent="0.2">
      <c r="A289" s="35">
        <v>10</v>
      </c>
      <c r="B289" s="35">
        <v>13</v>
      </c>
      <c r="C289" s="35" t="str">
        <f>Tableau6[Jour]&amp;"/"&amp;Tableau6[Mois]</f>
        <v>13/10</v>
      </c>
      <c r="D289" s="35" t="e">
        <f>MATCH(Tableau6[Jours Mois]&amp;"/"&amp;Tableau6[[#Headers],[2021]],tabSuiviConso[Jour Mois Année],0)</f>
        <v>#N/A</v>
      </c>
      <c r="E289" s="35" t="str">
        <f>IF(ISNA(Tableau6[[#This Row],[Position 2021]]),"",INDEX(tabSuiviConso[HP + HC
cumul],Tableau6[[#This Row],[Position 2021]],1))</f>
        <v/>
      </c>
      <c r="F289" s="56" t="e">
        <f>IF(ISNA(Tableau6[[#This Row],[Position 2021]]),Tableau6[[#This Row],[Position 2021]],Tableau6[[#This Row],[2021]]-E$2)</f>
        <v>#N/A</v>
      </c>
      <c r="G289" s="35" t="e">
        <f>MATCH(Tableau6[Jours Mois]&amp;"/"&amp;Tableau6[[#Headers],[2022]],tabSuiviConso[Jour Mois Année],0)</f>
        <v>#N/A</v>
      </c>
      <c r="H289" s="35" t="str">
        <f>IF(ISNA(Tableau6[[#This Row],[Position 2022]]),"",INDEX(tabSuiviConso[HP + HC
cumul],Tableau6[[#This Row],[Position 2022]],1))</f>
        <v/>
      </c>
      <c r="I289" s="56" t="e">
        <f>IF(ISNA(Tableau6[[#This Row],[Position 2022]]),Tableau6[[#This Row],[Position 2022]],Tableau6[[#This Row],[2022]]-H$2)</f>
        <v>#N/A</v>
      </c>
      <c r="J289" s="35" t="e">
        <f>MATCH(Tableau6[Jours Mois]&amp;"/"&amp;Tableau6[[#Headers],[2023]],tabSuiviConso[Jour Mois Année],0)</f>
        <v>#N/A</v>
      </c>
      <c r="K289" s="35" t="e">
        <f>Tableau6[[#This Row],[Cumul 2022]]-Tableau6[[#This Row],[Cumul 2021]]</f>
        <v>#N/A</v>
      </c>
      <c r="L289" s="37" t="e">
        <f>Tableau6[[#This Row],[Ecart 2021 2022]]/Tableau6[[#This Row],[Cumul 2021]]</f>
        <v>#N/A</v>
      </c>
      <c r="M289" s="35" t="str">
        <f>IF(ISNA(Tableau6[[#This Row],[Position 2023]]),"",INDEX(tabSuiviConso[HP + HC
cumul],Tableau6[[#This Row],[Position 2023]],1))</f>
        <v/>
      </c>
      <c r="N289" s="56" t="e">
        <f>IF(ISNA(Tableau6[[#This Row],[Position 2023]]),Tableau6[[#This Row],[Position 2023]],Tableau6[[#This Row],[2023]]-M$2)</f>
        <v>#N/A</v>
      </c>
      <c r="O289" s="35" t="e">
        <f>Tableau6[[#This Row],[Cumul 2023]]-Tableau6[[#This Row],[Cumul 2022]]</f>
        <v>#N/A</v>
      </c>
      <c r="P289" s="37" t="e">
        <f>Tableau6[[#This Row],[Ecart 2022 2023]]/Tableau6[[#This Row],[Cumul 2022]]</f>
        <v>#N/A</v>
      </c>
      <c r="Q289" s="35" t="e">
        <f>MATCH(Tableau6[Jours Mois]&amp;"/"&amp;Tableau6[[#Headers],[2024]],tabSuiviConso[Jour Mois Année],0)</f>
        <v>#N/A</v>
      </c>
      <c r="R289" s="35" t="str">
        <f>IF(ISNA(Tableau6[[#This Row],[Position 2024]]),"",INDEX(tabSuiviConso[HP + HC
cumul],Tableau6[[#This Row],[Position 2024]],1))</f>
        <v/>
      </c>
      <c r="S289" s="56" t="e">
        <f>IF(ISNA(Tableau6[[#This Row],[Position 2024]]),Tableau6[[#This Row],[Position 2024]],Tableau6[[#This Row],[2024]]-R$2)</f>
        <v>#N/A</v>
      </c>
      <c r="T289" s="35" t="e">
        <f>Tableau6[[#This Row],[Cumul 2024]]-Tableau6[[#This Row],[Cumul 2023]]</f>
        <v>#N/A</v>
      </c>
      <c r="U289" s="36" t="e">
        <f>Tableau6[[#This Row],[Ecart 2023 2024]]/Tableau6[[#This Row],[Cumul 2023]]</f>
        <v>#N/A</v>
      </c>
    </row>
    <row r="290" spans="1:21" x14ac:dyDescent="0.2">
      <c r="A290" s="35">
        <v>10</v>
      </c>
      <c r="B290" s="35">
        <v>14</v>
      </c>
      <c r="C290" s="35" t="str">
        <f>Tableau6[Jour]&amp;"/"&amp;Tableau6[Mois]</f>
        <v>14/10</v>
      </c>
      <c r="D290" s="35" t="e">
        <f>MATCH(Tableau6[Jours Mois]&amp;"/"&amp;Tableau6[[#Headers],[2021]],tabSuiviConso[Jour Mois Année],0)</f>
        <v>#N/A</v>
      </c>
      <c r="E290" s="35" t="str">
        <f>IF(ISNA(Tableau6[[#This Row],[Position 2021]]),"",INDEX(tabSuiviConso[HP + HC
cumul],Tableau6[[#This Row],[Position 2021]],1))</f>
        <v/>
      </c>
      <c r="F290" s="56" t="e">
        <f>IF(ISNA(Tableau6[[#This Row],[Position 2021]]),Tableau6[[#This Row],[Position 2021]],Tableau6[[#This Row],[2021]]-E$2)</f>
        <v>#N/A</v>
      </c>
      <c r="G290" s="35" t="e">
        <f>MATCH(Tableau6[Jours Mois]&amp;"/"&amp;Tableau6[[#Headers],[2022]],tabSuiviConso[Jour Mois Année],0)</f>
        <v>#N/A</v>
      </c>
      <c r="H290" s="35" t="str">
        <f>IF(ISNA(Tableau6[[#This Row],[Position 2022]]),"",INDEX(tabSuiviConso[HP + HC
cumul],Tableau6[[#This Row],[Position 2022]],1))</f>
        <v/>
      </c>
      <c r="I290" s="56" t="e">
        <f>IF(ISNA(Tableau6[[#This Row],[Position 2022]]),Tableau6[[#This Row],[Position 2022]],Tableau6[[#This Row],[2022]]-H$2)</f>
        <v>#N/A</v>
      </c>
      <c r="J290" s="35" t="e">
        <f>MATCH(Tableau6[Jours Mois]&amp;"/"&amp;Tableau6[[#Headers],[2023]],tabSuiviConso[Jour Mois Année],0)</f>
        <v>#N/A</v>
      </c>
      <c r="K290" s="35" t="e">
        <f>Tableau6[[#This Row],[Cumul 2022]]-Tableau6[[#This Row],[Cumul 2021]]</f>
        <v>#N/A</v>
      </c>
      <c r="L290" s="37" t="e">
        <f>Tableau6[[#This Row],[Ecart 2021 2022]]/Tableau6[[#This Row],[Cumul 2021]]</f>
        <v>#N/A</v>
      </c>
      <c r="M290" s="35" t="str">
        <f>IF(ISNA(Tableau6[[#This Row],[Position 2023]]),"",INDEX(tabSuiviConso[HP + HC
cumul],Tableau6[[#This Row],[Position 2023]],1))</f>
        <v/>
      </c>
      <c r="N290" s="56" t="e">
        <f>IF(ISNA(Tableau6[[#This Row],[Position 2023]]),Tableau6[[#This Row],[Position 2023]],Tableau6[[#This Row],[2023]]-M$2)</f>
        <v>#N/A</v>
      </c>
      <c r="O290" s="35" t="e">
        <f>Tableau6[[#This Row],[Cumul 2023]]-Tableau6[[#This Row],[Cumul 2022]]</f>
        <v>#N/A</v>
      </c>
      <c r="P290" s="37" t="e">
        <f>Tableau6[[#This Row],[Ecart 2022 2023]]/Tableau6[[#This Row],[Cumul 2022]]</f>
        <v>#N/A</v>
      </c>
      <c r="Q290" s="35" t="e">
        <f>MATCH(Tableau6[Jours Mois]&amp;"/"&amp;Tableau6[[#Headers],[2024]],tabSuiviConso[Jour Mois Année],0)</f>
        <v>#N/A</v>
      </c>
      <c r="R290" s="35" t="str">
        <f>IF(ISNA(Tableau6[[#This Row],[Position 2024]]),"",INDEX(tabSuiviConso[HP + HC
cumul],Tableau6[[#This Row],[Position 2024]],1))</f>
        <v/>
      </c>
      <c r="S290" s="56" t="e">
        <f>IF(ISNA(Tableau6[[#This Row],[Position 2024]]),Tableau6[[#This Row],[Position 2024]],Tableau6[[#This Row],[2024]]-R$2)</f>
        <v>#N/A</v>
      </c>
      <c r="T290" s="35" t="e">
        <f>Tableau6[[#This Row],[Cumul 2024]]-Tableau6[[#This Row],[Cumul 2023]]</f>
        <v>#N/A</v>
      </c>
      <c r="U290" s="36" t="e">
        <f>Tableau6[[#This Row],[Ecart 2023 2024]]/Tableau6[[#This Row],[Cumul 2023]]</f>
        <v>#N/A</v>
      </c>
    </row>
    <row r="291" spans="1:21" x14ac:dyDescent="0.2">
      <c r="A291" s="35">
        <v>10</v>
      </c>
      <c r="B291" s="35">
        <v>15</v>
      </c>
      <c r="C291" s="35" t="str">
        <f>Tableau6[Jour]&amp;"/"&amp;Tableau6[Mois]</f>
        <v>15/10</v>
      </c>
      <c r="D291" s="35" t="e">
        <f>MATCH(Tableau6[Jours Mois]&amp;"/"&amp;Tableau6[[#Headers],[2021]],tabSuiviConso[Jour Mois Année],0)</f>
        <v>#N/A</v>
      </c>
      <c r="E291" s="35" t="str">
        <f>IF(ISNA(Tableau6[[#This Row],[Position 2021]]),"",INDEX(tabSuiviConso[HP + HC
cumul],Tableau6[[#This Row],[Position 2021]],1))</f>
        <v/>
      </c>
      <c r="F291" s="56" t="e">
        <f>IF(ISNA(Tableau6[[#This Row],[Position 2021]]),Tableau6[[#This Row],[Position 2021]],Tableau6[[#This Row],[2021]]-E$2)</f>
        <v>#N/A</v>
      </c>
      <c r="G291" s="35" t="e">
        <f>MATCH(Tableau6[Jours Mois]&amp;"/"&amp;Tableau6[[#Headers],[2022]],tabSuiviConso[Jour Mois Année],0)</f>
        <v>#N/A</v>
      </c>
      <c r="H291" s="35" t="str">
        <f>IF(ISNA(Tableau6[[#This Row],[Position 2022]]),"",INDEX(tabSuiviConso[HP + HC
cumul],Tableau6[[#This Row],[Position 2022]],1))</f>
        <v/>
      </c>
      <c r="I291" s="56" t="e">
        <f>IF(ISNA(Tableau6[[#This Row],[Position 2022]]),Tableau6[[#This Row],[Position 2022]],Tableau6[[#This Row],[2022]]-H$2)</f>
        <v>#N/A</v>
      </c>
      <c r="J291" s="35" t="e">
        <f>MATCH(Tableau6[Jours Mois]&amp;"/"&amp;Tableau6[[#Headers],[2023]],tabSuiviConso[Jour Mois Année],0)</f>
        <v>#N/A</v>
      </c>
      <c r="K291" s="35" t="e">
        <f>Tableau6[[#This Row],[Cumul 2022]]-Tableau6[[#This Row],[Cumul 2021]]</f>
        <v>#N/A</v>
      </c>
      <c r="L291" s="37" t="e">
        <f>Tableau6[[#This Row],[Ecart 2021 2022]]/Tableau6[[#This Row],[Cumul 2021]]</f>
        <v>#N/A</v>
      </c>
      <c r="M291" s="35" t="str">
        <f>IF(ISNA(Tableau6[[#This Row],[Position 2023]]),"",INDEX(tabSuiviConso[HP + HC
cumul],Tableau6[[#This Row],[Position 2023]],1))</f>
        <v/>
      </c>
      <c r="N291" s="56" t="e">
        <f>IF(ISNA(Tableau6[[#This Row],[Position 2023]]),Tableau6[[#This Row],[Position 2023]],Tableau6[[#This Row],[2023]]-M$2)</f>
        <v>#N/A</v>
      </c>
      <c r="O291" s="35" t="e">
        <f>Tableau6[[#This Row],[Cumul 2023]]-Tableau6[[#This Row],[Cumul 2022]]</f>
        <v>#N/A</v>
      </c>
      <c r="P291" s="37" t="e">
        <f>Tableau6[[#This Row],[Ecart 2022 2023]]/Tableau6[[#This Row],[Cumul 2022]]</f>
        <v>#N/A</v>
      </c>
      <c r="Q291" s="35" t="e">
        <f>MATCH(Tableau6[Jours Mois]&amp;"/"&amp;Tableau6[[#Headers],[2024]],tabSuiviConso[Jour Mois Année],0)</f>
        <v>#N/A</v>
      </c>
      <c r="R291" s="35" t="str">
        <f>IF(ISNA(Tableau6[[#This Row],[Position 2024]]),"",INDEX(tabSuiviConso[HP + HC
cumul],Tableau6[[#This Row],[Position 2024]],1))</f>
        <v/>
      </c>
      <c r="S291" s="56" t="e">
        <f>IF(ISNA(Tableau6[[#This Row],[Position 2024]]),Tableau6[[#This Row],[Position 2024]],Tableau6[[#This Row],[2024]]-R$2)</f>
        <v>#N/A</v>
      </c>
      <c r="T291" s="35" t="e">
        <f>Tableau6[[#This Row],[Cumul 2024]]-Tableau6[[#This Row],[Cumul 2023]]</f>
        <v>#N/A</v>
      </c>
      <c r="U291" s="36" t="e">
        <f>Tableau6[[#This Row],[Ecart 2023 2024]]/Tableau6[[#This Row],[Cumul 2023]]</f>
        <v>#N/A</v>
      </c>
    </row>
    <row r="292" spans="1:21" x14ac:dyDescent="0.2">
      <c r="A292" s="35">
        <v>10</v>
      </c>
      <c r="B292" s="35">
        <v>16</v>
      </c>
      <c r="C292" s="35" t="str">
        <f>Tableau6[Jour]&amp;"/"&amp;Tableau6[Mois]</f>
        <v>16/10</v>
      </c>
      <c r="D292" s="35" t="e">
        <f>MATCH(Tableau6[Jours Mois]&amp;"/"&amp;Tableau6[[#Headers],[2021]],tabSuiviConso[Jour Mois Année],0)</f>
        <v>#N/A</v>
      </c>
      <c r="E292" s="35" t="str">
        <f>IF(ISNA(Tableau6[[#This Row],[Position 2021]]),"",INDEX(tabSuiviConso[HP + HC
cumul],Tableau6[[#This Row],[Position 2021]],1))</f>
        <v/>
      </c>
      <c r="F292" s="56" t="e">
        <f>IF(ISNA(Tableau6[[#This Row],[Position 2021]]),Tableau6[[#This Row],[Position 2021]],Tableau6[[#This Row],[2021]]-E$2)</f>
        <v>#N/A</v>
      </c>
      <c r="G292" s="35" t="e">
        <f>MATCH(Tableau6[Jours Mois]&amp;"/"&amp;Tableau6[[#Headers],[2022]],tabSuiviConso[Jour Mois Année],0)</f>
        <v>#N/A</v>
      </c>
      <c r="H292" s="35" t="str">
        <f>IF(ISNA(Tableau6[[#This Row],[Position 2022]]),"",INDEX(tabSuiviConso[HP + HC
cumul],Tableau6[[#This Row],[Position 2022]],1))</f>
        <v/>
      </c>
      <c r="I292" s="56" t="e">
        <f>IF(ISNA(Tableau6[[#This Row],[Position 2022]]),Tableau6[[#This Row],[Position 2022]],Tableau6[[#This Row],[2022]]-H$2)</f>
        <v>#N/A</v>
      </c>
      <c r="J292" s="35" t="e">
        <f>MATCH(Tableau6[Jours Mois]&amp;"/"&amp;Tableau6[[#Headers],[2023]],tabSuiviConso[Jour Mois Année],0)</f>
        <v>#N/A</v>
      </c>
      <c r="K292" s="35" t="e">
        <f>Tableau6[[#This Row],[Cumul 2022]]-Tableau6[[#This Row],[Cumul 2021]]</f>
        <v>#N/A</v>
      </c>
      <c r="L292" s="37" t="e">
        <f>Tableau6[[#This Row],[Ecart 2021 2022]]/Tableau6[[#This Row],[Cumul 2021]]</f>
        <v>#N/A</v>
      </c>
      <c r="M292" s="35" t="str">
        <f>IF(ISNA(Tableau6[[#This Row],[Position 2023]]),"",INDEX(tabSuiviConso[HP + HC
cumul],Tableau6[[#This Row],[Position 2023]],1))</f>
        <v/>
      </c>
      <c r="N292" s="56" t="e">
        <f>IF(ISNA(Tableau6[[#This Row],[Position 2023]]),Tableau6[[#This Row],[Position 2023]],Tableau6[[#This Row],[2023]]-M$2)</f>
        <v>#N/A</v>
      </c>
      <c r="O292" s="35" t="e">
        <f>Tableau6[[#This Row],[Cumul 2023]]-Tableau6[[#This Row],[Cumul 2022]]</f>
        <v>#N/A</v>
      </c>
      <c r="P292" s="37" t="e">
        <f>Tableau6[[#This Row],[Ecart 2022 2023]]/Tableau6[[#This Row],[Cumul 2022]]</f>
        <v>#N/A</v>
      </c>
      <c r="Q292" s="35" t="e">
        <f>MATCH(Tableau6[Jours Mois]&amp;"/"&amp;Tableau6[[#Headers],[2024]],tabSuiviConso[Jour Mois Année],0)</f>
        <v>#N/A</v>
      </c>
      <c r="R292" s="35" t="str">
        <f>IF(ISNA(Tableau6[[#This Row],[Position 2024]]),"",INDEX(tabSuiviConso[HP + HC
cumul],Tableau6[[#This Row],[Position 2024]],1))</f>
        <v/>
      </c>
      <c r="S292" s="56" t="e">
        <f>IF(ISNA(Tableau6[[#This Row],[Position 2024]]),Tableau6[[#This Row],[Position 2024]],Tableau6[[#This Row],[2024]]-R$2)</f>
        <v>#N/A</v>
      </c>
      <c r="T292" s="35" t="e">
        <f>Tableau6[[#This Row],[Cumul 2024]]-Tableau6[[#This Row],[Cumul 2023]]</f>
        <v>#N/A</v>
      </c>
      <c r="U292" s="36" t="e">
        <f>Tableau6[[#This Row],[Ecart 2023 2024]]/Tableau6[[#This Row],[Cumul 2023]]</f>
        <v>#N/A</v>
      </c>
    </row>
    <row r="293" spans="1:21" x14ac:dyDescent="0.2">
      <c r="A293" s="35">
        <v>10</v>
      </c>
      <c r="B293" s="35">
        <v>17</v>
      </c>
      <c r="C293" s="35" t="str">
        <f>Tableau6[Jour]&amp;"/"&amp;Tableau6[Mois]</f>
        <v>17/10</v>
      </c>
      <c r="D293" s="35" t="e">
        <f>MATCH(Tableau6[Jours Mois]&amp;"/"&amp;Tableau6[[#Headers],[2021]],tabSuiviConso[Jour Mois Année],0)</f>
        <v>#N/A</v>
      </c>
      <c r="E293" s="35" t="str">
        <f>IF(ISNA(Tableau6[[#This Row],[Position 2021]]),"",INDEX(tabSuiviConso[HP + HC
cumul],Tableau6[[#This Row],[Position 2021]],1))</f>
        <v/>
      </c>
      <c r="F293" s="56" t="e">
        <f>IF(ISNA(Tableau6[[#This Row],[Position 2021]]),Tableau6[[#This Row],[Position 2021]],Tableau6[[#This Row],[2021]]-E$2)</f>
        <v>#N/A</v>
      </c>
      <c r="G293" s="35" t="e">
        <f>MATCH(Tableau6[Jours Mois]&amp;"/"&amp;Tableau6[[#Headers],[2022]],tabSuiviConso[Jour Mois Année],0)</f>
        <v>#N/A</v>
      </c>
      <c r="H293" s="35" t="str">
        <f>IF(ISNA(Tableau6[[#This Row],[Position 2022]]),"",INDEX(tabSuiviConso[HP + HC
cumul],Tableau6[[#This Row],[Position 2022]],1))</f>
        <v/>
      </c>
      <c r="I293" s="56" t="e">
        <f>IF(ISNA(Tableau6[[#This Row],[Position 2022]]),Tableau6[[#This Row],[Position 2022]],Tableau6[[#This Row],[2022]]-H$2)</f>
        <v>#N/A</v>
      </c>
      <c r="J293" s="35" t="e">
        <f>MATCH(Tableau6[Jours Mois]&amp;"/"&amp;Tableau6[[#Headers],[2023]],tabSuiviConso[Jour Mois Année],0)</f>
        <v>#N/A</v>
      </c>
      <c r="K293" s="35" t="e">
        <f>Tableau6[[#This Row],[Cumul 2022]]-Tableau6[[#This Row],[Cumul 2021]]</f>
        <v>#N/A</v>
      </c>
      <c r="L293" s="37" t="e">
        <f>Tableau6[[#This Row],[Ecart 2021 2022]]/Tableau6[[#This Row],[Cumul 2021]]</f>
        <v>#N/A</v>
      </c>
      <c r="M293" s="35" t="str">
        <f>IF(ISNA(Tableau6[[#This Row],[Position 2023]]),"",INDEX(tabSuiviConso[HP + HC
cumul],Tableau6[[#This Row],[Position 2023]],1))</f>
        <v/>
      </c>
      <c r="N293" s="56" t="e">
        <f>IF(ISNA(Tableau6[[#This Row],[Position 2023]]),Tableau6[[#This Row],[Position 2023]],Tableau6[[#This Row],[2023]]-M$2)</f>
        <v>#N/A</v>
      </c>
      <c r="O293" s="35" t="e">
        <f>Tableau6[[#This Row],[Cumul 2023]]-Tableau6[[#This Row],[Cumul 2022]]</f>
        <v>#N/A</v>
      </c>
      <c r="P293" s="37" t="e">
        <f>Tableau6[[#This Row],[Ecart 2022 2023]]/Tableau6[[#This Row],[Cumul 2022]]</f>
        <v>#N/A</v>
      </c>
      <c r="Q293" s="35" t="e">
        <f>MATCH(Tableau6[Jours Mois]&amp;"/"&amp;Tableau6[[#Headers],[2024]],tabSuiviConso[Jour Mois Année],0)</f>
        <v>#N/A</v>
      </c>
      <c r="R293" s="35" t="str">
        <f>IF(ISNA(Tableau6[[#This Row],[Position 2024]]),"",INDEX(tabSuiviConso[HP + HC
cumul],Tableau6[[#This Row],[Position 2024]],1))</f>
        <v/>
      </c>
      <c r="S293" s="56" t="e">
        <f>IF(ISNA(Tableau6[[#This Row],[Position 2024]]),Tableau6[[#This Row],[Position 2024]],Tableau6[[#This Row],[2024]]-R$2)</f>
        <v>#N/A</v>
      </c>
      <c r="T293" s="35" t="e">
        <f>Tableau6[[#This Row],[Cumul 2024]]-Tableau6[[#This Row],[Cumul 2023]]</f>
        <v>#N/A</v>
      </c>
      <c r="U293" s="36" t="e">
        <f>Tableau6[[#This Row],[Ecart 2023 2024]]/Tableau6[[#This Row],[Cumul 2023]]</f>
        <v>#N/A</v>
      </c>
    </row>
    <row r="294" spans="1:21" x14ac:dyDescent="0.2">
      <c r="A294" s="35">
        <v>10</v>
      </c>
      <c r="B294" s="35">
        <v>18</v>
      </c>
      <c r="C294" s="35" t="str">
        <f>Tableau6[Jour]&amp;"/"&amp;Tableau6[Mois]</f>
        <v>18/10</v>
      </c>
      <c r="D294" s="35" t="e">
        <f>MATCH(Tableau6[Jours Mois]&amp;"/"&amp;Tableau6[[#Headers],[2021]],tabSuiviConso[Jour Mois Année],0)</f>
        <v>#N/A</v>
      </c>
      <c r="E294" s="35" t="str">
        <f>IF(ISNA(Tableau6[[#This Row],[Position 2021]]),"",INDEX(tabSuiviConso[HP + HC
cumul],Tableau6[[#This Row],[Position 2021]],1))</f>
        <v/>
      </c>
      <c r="F294" s="56" t="e">
        <f>IF(ISNA(Tableau6[[#This Row],[Position 2021]]),Tableau6[[#This Row],[Position 2021]],Tableau6[[#This Row],[2021]]-E$2)</f>
        <v>#N/A</v>
      </c>
      <c r="G294" s="35" t="e">
        <f>MATCH(Tableau6[Jours Mois]&amp;"/"&amp;Tableau6[[#Headers],[2022]],tabSuiviConso[Jour Mois Année],0)</f>
        <v>#N/A</v>
      </c>
      <c r="H294" s="35" t="str">
        <f>IF(ISNA(Tableau6[[#This Row],[Position 2022]]),"",INDEX(tabSuiviConso[HP + HC
cumul],Tableau6[[#This Row],[Position 2022]],1))</f>
        <v/>
      </c>
      <c r="I294" s="56" t="e">
        <f>IF(ISNA(Tableau6[[#This Row],[Position 2022]]),Tableau6[[#This Row],[Position 2022]],Tableau6[[#This Row],[2022]]-H$2)</f>
        <v>#N/A</v>
      </c>
      <c r="J294" s="35" t="e">
        <f>MATCH(Tableau6[Jours Mois]&amp;"/"&amp;Tableau6[[#Headers],[2023]],tabSuiviConso[Jour Mois Année],0)</f>
        <v>#N/A</v>
      </c>
      <c r="K294" s="35" t="e">
        <f>Tableau6[[#This Row],[Cumul 2022]]-Tableau6[[#This Row],[Cumul 2021]]</f>
        <v>#N/A</v>
      </c>
      <c r="L294" s="37" t="e">
        <f>Tableau6[[#This Row],[Ecart 2021 2022]]/Tableau6[[#This Row],[Cumul 2021]]</f>
        <v>#N/A</v>
      </c>
      <c r="M294" s="35" t="str">
        <f>IF(ISNA(Tableau6[[#This Row],[Position 2023]]),"",INDEX(tabSuiviConso[HP + HC
cumul],Tableau6[[#This Row],[Position 2023]],1))</f>
        <v/>
      </c>
      <c r="N294" s="56" t="e">
        <f>IF(ISNA(Tableau6[[#This Row],[Position 2023]]),Tableau6[[#This Row],[Position 2023]],Tableau6[[#This Row],[2023]]-M$2)</f>
        <v>#N/A</v>
      </c>
      <c r="O294" s="35" t="e">
        <f>Tableau6[[#This Row],[Cumul 2023]]-Tableau6[[#This Row],[Cumul 2022]]</f>
        <v>#N/A</v>
      </c>
      <c r="P294" s="37" t="e">
        <f>Tableau6[[#This Row],[Ecart 2022 2023]]/Tableau6[[#This Row],[Cumul 2022]]</f>
        <v>#N/A</v>
      </c>
      <c r="Q294" s="35" t="e">
        <f>MATCH(Tableau6[Jours Mois]&amp;"/"&amp;Tableau6[[#Headers],[2024]],tabSuiviConso[Jour Mois Année],0)</f>
        <v>#N/A</v>
      </c>
      <c r="R294" s="35" t="str">
        <f>IF(ISNA(Tableau6[[#This Row],[Position 2024]]),"",INDEX(tabSuiviConso[HP + HC
cumul],Tableau6[[#This Row],[Position 2024]],1))</f>
        <v/>
      </c>
      <c r="S294" s="56" t="e">
        <f>IF(ISNA(Tableau6[[#This Row],[Position 2024]]),Tableau6[[#This Row],[Position 2024]],Tableau6[[#This Row],[2024]]-R$2)</f>
        <v>#N/A</v>
      </c>
      <c r="T294" s="35" t="e">
        <f>Tableau6[[#This Row],[Cumul 2024]]-Tableau6[[#This Row],[Cumul 2023]]</f>
        <v>#N/A</v>
      </c>
      <c r="U294" s="36" t="e">
        <f>Tableau6[[#This Row],[Ecart 2023 2024]]/Tableau6[[#This Row],[Cumul 2023]]</f>
        <v>#N/A</v>
      </c>
    </row>
    <row r="295" spans="1:21" x14ac:dyDescent="0.2">
      <c r="A295" s="35">
        <v>10</v>
      </c>
      <c r="B295" s="35">
        <v>19</v>
      </c>
      <c r="C295" s="35" t="str">
        <f>Tableau6[Jour]&amp;"/"&amp;Tableau6[Mois]</f>
        <v>19/10</v>
      </c>
      <c r="D295" s="35" t="e">
        <f>MATCH(Tableau6[Jours Mois]&amp;"/"&amp;Tableau6[[#Headers],[2021]],tabSuiviConso[Jour Mois Année],0)</f>
        <v>#N/A</v>
      </c>
      <c r="E295" s="35" t="str">
        <f>IF(ISNA(Tableau6[[#This Row],[Position 2021]]),"",INDEX(tabSuiviConso[HP + HC
cumul],Tableau6[[#This Row],[Position 2021]],1))</f>
        <v/>
      </c>
      <c r="F295" s="56" t="e">
        <f>IF(ISNA(Tableau6[[#This Row],[Position 2021]]),Tableau6[[#This Row],[Position 2021]],Tableau6[[#This Row],[2021]]-E$2)</f>
        <v>#N/A</v>
      </c>
      <c r="G295" s="35" t="e">
        <f>MATCH(Tableau6[Jours Mois]&amp;"/"&amp;Tableau6[[#Headers],[2022]],tabSuiviConso[Jour Mois Année],0)</f>
        <v>#N/A</v>
      </c>
      <c r="H295" s="35" t="str">
        <f>IF(ISNA(Tableau6[[#This Row],[Position 2022]]),"",INDEX(tabSuiviConso[HP + HC
cumul],Tableau6[[#This Row],[Position 2022]],1))</f>
        <v/>
      </c>
      <c r="I295" s="56" t="e">
        <f>IF(ISNA(Tableau6[[#This Row],[Position 2022]]),Tableau6[[#This Row],[Position 2022]],Tableau6[[#This Row],[2022]]-H$2)</f>
        <v>#N/A</v>
      </c>
      <c r="J295" s="35" t="e">
        <f>MATCH(Tableau6[Jours Mois]&amp;"/"&amp;Tableau6[[#Headers],[2023]],tabSuiviConso[Jour Mois Année],0)</f>
        <v>#N/A</v>
      </c>
      <c r="K295" s="35" t="e">
        <f>Tableau6[[#This Row],[Cumul 2022]]-Tableau6[[#This Row],[Cumul 2021]]</f>
        <v>#N/A</v>
      </c>
      <c r="L295" s="37" t="e">
        <f>Tableau6[[#This Row],[Ecart 2021 2022]]/Tableau6[[#This Row],[Cumul 2021]]</f>
        <v>#N/A</v>
      </c>
      <c r="M295" s="35" t="str">
        <f>IF(ISNA(Tableau6[[#This Row],[Position 2023]]),"",INDEX(tabSuiviConso[HP + HC
cumul],Tableau6[[#This Row],[Position 2023]],1))</f>
        <v/>
      </c>
      <c r="N295" s="56" t="e">
        <f>IF(ISNA(Tableau6[[#This Row],[Position 2023]]),Tableau6[[#This Row],[Position 2023]],Tableau6[[#This Row],[2023]]-M$2)</f>
        <v>#N/A</v>
      </c>
      <c r="O295" s="35" t="e">
        <f>Tableau6[[#This Row],[Cumul 2023]]-Tableau6[[#This Row],[Cumul 2022]]</f>
        <v>#N/A</v>
      </c>
      <c r="P295" s="37" t="e">
        <f>Tableau6[[#This Row],[Ecart 2022 2023]]/Tableau6[[#This Row],[Cumul 2022]]</f>
        <v>#N/A</v>
      </c>
      <c r="Q295" s="35" t="e">
        <f>MATCH(Tableau6[Jours Mois]&amp;"/"&amp;Tableau6[[#Headers],[2024]],tabSuiviConso[Jour Mois Année],0)</f>
        <v>#N/A</v>
      </c>
      <c r="R295" s="35" t="str">
        <f>IF(ISNA(Tableau6[[#This Row],[Position 2024]]),"",INDEX(tabSuiviConso[HP + HC
cumul],Tableau6[[#This Row],[Position 2024]],1))</f>
        <v/>
      </c>
      <c r="S295" s="56" t="e">
        <f>IF(ISNA(Tableau6[[#This Row],[Position 2024]]),Tableau6[[#This Row],[Position 2024]],Tableau6[[#This Row],[2024]]-R$2)</f>
        <v>#N/A</v>
      </c>
      <c r="T295" s="35" t="e">
        <f>Tableau6[[#This Row],[Cumul 2024]]-Tableau6[[#This Row],[Cumul 2023]]</f>
        <v>#N/A</v>
      </c>
      <c r="U295" s="36" t="e">
        <f>Tableau6[[#This Row],[Ecart 2023 2024]]/Tableau6[[#This Row],[Cumul 2023]]</f>
        <v>#N/A</v>
      </c>
    </row>
    <row r="296" spans="1:21" x14ac:dyDescent="0.2">
      <c r="A296" s="35">
        <v>10</v>
      </c>
      <c r="B296" s="35">
        <v>20</v>
      </c>
      <c r="C296" s="35" t="str">
        <f>Tableau6[Jour]&amp;"/"&amp;Tableau6[Mois]</f>
        <v>20/10</v>
      </c>
      <c r="D296" s="35" t="e">
        <f>MATCH(Tableau6[Jours Mois]&amp;"/"&amp;Tableau6[[#Headers],[2021]],tabSuiviConso[Jour Mois Année],0)</f>
        <v>#N/A</v>
      </c>
      <c r="E296" s="35" t="str">
        <f>IF(ISNA(Tableau6[[#This Row],[Position 2021]]),"",INDEX(tabSuiviConso[HP + HC
cumul],Tableau6[[#This Row],[Position 2021]],1))</f>
        <v/>
      </c>
      <c r="F296" s="56" t="e">
        <f>IF(ISNA(Tableau6[[#This Row],[Position 2021]]),Tableau6[[#This Row],[Position 2021]],Tableau6[[#This Row],[2021]]-E$2)</f>
        <v>#N/A</v>
      </c>
      <c r="G296" s="35" t="e">
        <f>MATCH(Tableau6[Jours Mois]&amp;"/"&amp;Tableau6[[#Headers],[2022]],tabSuiviConso[Jour Mois Année],0)</f>
        <v>#N/A</v>
      </c>
      <c r="H296" s="35" t="str">
        <f>IF(ISNA(Tableau6[[#This Row],[Position 2022]]),"",INDEX(tabSuiviConso[HP + HC
cumul],Tableau6[[#This Row],[Position 2022]],1))</f>
        <v/>
      </c>
      <c r="I296" s="56" t="e">
        <f>IF(ISNA(Tableau6[[#This Row],[Position 2022]]),Tableau6[[#This Row],[Position 2022]],Tableau6[[#This Row],[2022]]-H$2)</f>
        <v>#N/A</v>
      </c>
      <c r="J296" s="35" t="e">
        <f>MATCH(Tableau6[Jours Mois]&amp;"/"&amp;Tableau6[[#Headers],[2023]],tabSuiviConso[Jour Mois Année],0)</f>
        <v>#N/A</v>
      </c>
      <c r="K296" s="35" t="e">
        <f>Tableau6[[#This Row],[Cumul 2022]]-Tableau6[[#This Row],[Cumul 2021]]</f>
        <v>#N/A</v>
      </c>
      <c r="L296" s="37" t="e">
        <f>Tableau6[[#This Row],[Ecart 2021 2022]]/Tableau6[[#This Row],[Cumul 2021]]</f>
        <v>#N/A</v>
      </c>
      <c r="M296" s="35" t="str">
        <f>IF(ISNA(Tableau6[[#This Row],[Position 2023]]),"",INDEX(tabSuiviConso[HP + HC
cumul],Tableau6[[#This Row],[Position 2023]],1))</f>
        <v/>
      </c>
      <c r="N296" s="56" t="e">
        <f>IF(ISNA(Tableau6[[#This Row],[Position 2023]]),Tableau6[[#This Row],[Position 2023]],Tableau6[[#This Row],[2023]]-M$2)</f>
        <v>#N/A</v>
      </c>
      <c r="O296" s="35" t="e">
        <f>Tableau6[[#This Row],[Cumul 2023]]-Tableau6[[#This Row],[Cumul 2022]]</f>
        <v>#N/A</v>
      </c>
      <c r="P296" s="37" t="e">
        <f>Tableau6[[#This Row],[Ecart 2022 2023]]/Tableau6[[#This Row],[Cumul 2022]]</f>
        <v>#N/A</v>
      </c>
      <c r="Q296" s="35" t="e">
        <f>MATCH(Tableau6[Jours Mois]&amp;"/"&amp;Tableau6[[#Headers],[2024]],tabSuiviConso[Jour Mois Année],0)</f>
        <v>#N/A</v>
      </c>
      <c r="R296" s="35" t="str">
        <f>IF(ISNA(Tableau6[[#This Row],[Position 2024]]),"",INDEX(tabSuiviConso[HP + HC
cumul],Tableau6[[#This Row],[Position 2024]],1))</f>
        <v/>
      </c>
      <c r="S296" s="56" t="e">
        <f>IF(ISNA(Tableau6[[#This Row],[Position 2024]]),Tableau6[[#This Row],[Position 2024]],Tableau6[[#This Row],[2024]]-R$2)</f>
        <v>#N/A</v>
      </c>
      <c r="T296" s="35" t="e">
        <f>Tableau6[[#This Row],[Cumul 2024]]-Tableau6[[#This Row],[Cumul 2023]]</f>
        <v>#N/A</v>
      </c>
      <c r="U296" s="36" t="e">
        <f>Tableau6[[#This Row],[Ecart 2023 2024]]/Tableau6[[#This Row],[Cumul 2023]]</f>
        <v>#N/A</v>
      </c>
    </row>
    <row r="297" spans="1:21" x14ac:dyDescent="0.2">
      <c r="A297" s="35">
        <v>10</v>
      </c>
      <c r="B297" s="35">
        <v>21</v>
      </c>
      <c r="C297" s="35" t="str">
        <f>Tableau6[Jour]&amp;"/"&amp;Tableau6[Mois]</f>
        <v>21/10</v>
      </c>
      <c r="D297" s="35" t="e">
        <f>MATCH(Tableau6[Jours Mois]&amp;"/"&amp;Tableau6[[#Headers],[2021]],tabSuiviConso[Jour Mois Année],0)</f>
        <v>#N/A</v>
      </c>
      <c r="E297" s="35" t="str">
        <f>IF(ISNA(Tableau6[[#This Row],[Position 2021]]),"",INDEX(tabSuiviConso[HP + HC
cumul],Tableau6[[#This Row],[Position 2021]],1))</f>
        <v/>
      </c>
      <c r="F297" s="56" t="e">
        <f>IF(ISNA(Tableau6[[#This Row],[Position 2021]]),Tableau6[[#This Row],[Position 2021]],Tableau6[[#This Row],[2021]]-E$2)</f>
        <v>#N/A</v>
      </c>
      <c r="G297" s="35" t="e">
        <f>MATCH(Tableau6[Jours Mois]&amp;"/"&amp;Tableau6[[#Headers],[2022]],tabSuiviConso[Jour Mois Année],0)</f>
        <v>#N/A</v>
      </c>
      <c r="H297" s="35" t="str">
        <f>IF(ISNA(Tableau6[[#This Row],[Position 2022]]),"",INDEX(tabSuiviConso[HP + HC
cumul],Tableau6[[#This Row],[Position 2022]],1))</f>
        <v/>
      </c>
      <c r="I297" s="56" t="e">
        <f>IF(ISNA(Tableau6[[#This Row],[Position 2022]]),Tableau6[[#This Row],[Position 2022]],Tableau6[[#This Row],[2022]]-H$2)</f>
        <v>#N/A</v>
      </c>
      <c r="J297" s="35" t="e">
        <f>MATCH(Tableau6[Jours Mois]&amp;"/"&amp;Tableau6[[#Headers],[2023]],tabSuiviConso[Jour Mois Année],0)</f>
        <v>#N/A</v>
      </c>
      <c r="K297" s="35" t="e">
        <f>Tableau6[[#This Row],[Cumul 2022]]-Tableau6[[#This Row],[Cumul 2021]]</f>
        <v>#N/A</v>
      </c>
      <c r="L297" s="37" t="e">
        <f>Tableau6[[#This Row],[Ecart 2021 2022]]/Tableau6[[#This Row],[Cumul 2021]]</f>
        <v>#N/A</v>
      </c>
      <c r="M297" s="35" t="str">
        <f>IF(ISNA(Tableau6[[#This Row],[Position 2023]]),"",INDEX(tabSuiviConso[HP + HC
cumul],Tableau6[[#This Row],[Position 2023]],1))</f>
        <v/>
      </c>
      <c r="N297" s="56" t="e">
        <f>IF(ISNA(Tableau6[[#This Row],[Position 2023]]),Tableau6[[#This Row],[Position 2023]],Tableau6[[#This Row],[2023]]-M$2)</f>
        <v>#N/A</v>
      </c>
      <c r="O297" s="35" t="e">
        <f>Tableau6[[#This Row],[Cumul 2023]]-Tableau6[[#This Row],[Cumul 2022]]</f>
        <v>#N/A</v>
      </c>
      <c r="P297" s="37" t="e">
        <f>Tableau6[[#This Row],[Ecart 2022 2023]]/Tableau6[[#This Row],[Cumul 2022]]</f>
        <v>#N/A</v>
      </c>
      <c r="Q297" s="35" t="e">
        <f>MATCH(Tableau6[Jours Mois]&amp;"/"&amp;Tableau6[[#Headers],[2024]],tabSuiviConso[Jour Mois Année],0)</f>
        <v>#N/A</v>
      </c>
      <c r="R297" s="35" t="str">
        <f>IF(ISNA(Tableau6[[#This Row],[Position 2024]]),"",INDEX(tabSuiviConso[HP + HC
cumul],Tableau6[[#This Row],[Position 2024]],1))</f>
        <v/>
      </c>
      <c r="S297" s="56" t="e">
        <f>IF(ISNA(Tableau6[[#This Row],[Position 2024]]),Tableau6[[#This Row],[Position 2024]],Tableau6[[#This Row],[2024]]-R$2)</f>
        <v>#N/A</v>
      </c>
      <c r="T297" s="35" t="e">
        <f>Tableau6[[#This Row],[Cumul 2024]]-Tableau6[[#This Row],[Cumul 2023]]</f>
        <v>#N/A</v>
      </c>
      <c r="U297" s="36" t="e">
        <f>Tableau6[[#This Row],[Ecart 2023 2024]]/Tableau6[[#This Row],[Cumul 2023]]</f>
        <v>#N/A</v>
      </c>
    </row>
    <row r="298" spans="1:21" x14ac:dyDescent="0.2">
      <c r="A298" s="35">
        <v>10</v>
      </c>
      <c r="B298" s="35">
        <v>22</v>
      </c>
      <c r="C298" s="35" t="str">
        <f>Tableau6[Jour]&amp;"/"&amp;Tableau6[Mois]</f>
        <v>22/10</v>
      </c>
      <c r="D298" s="35" t="e">
        <f>MATCH(Tableau6[Jours Mois]&amp;"/"&amp;Tableau6[[#Headers],[2021]],tabSuiviConso[Jour Mois Année],0)</f>
        <v>#N/A</v>
      </c>
      <c r="E298" s="35" t="str">
        <f>IF(ISNA(Tableau6[[#This Row],[Position 2021]]),"",INDEX(tabSuiviConso[HP + HC
cumul],Tableau6[[#This Row],[Position 2021]],1))</f>
        <v/>
      </c>
      <c r="F298" s="56" t="e">
        <f>IF(ISNA(Tableau6[[#This Row],[Position 2021]]),Tableau6[[#This Row],[Position 2021]],Tableau6[[#This Row],[2021]]-E$2)</f>
        <v>#N/A</v>
      </c>
      <c r="G298" s="35" t="e">
        <f>MATCH(Tableau6[Jours Mois]&amp;"/"&amp;Tableau6[[#Headers],[2022]],tabSuiviConso[Jour Mois Année],0)</f>
        <v>#N/A</v>
      </c>
      <c r="H298" s="35" t="str">
        <f>IF(ISNA(Tableau6[[#This Row],[Position 2022]]),"",INDEX(tabSuiviConso[HP + HC
cumul],Tableau6[[#This Row],[Position 2022]],1))</f>
        <v/>
      </c>
      <c r="I298" s="56" t="e">
        <f>IF(ISNA(Tableau6[[#This Row],[Position 2022]]),Tableau6[[#This Row],[Position 2022]],Tableau6[[#This Row],[2022]]-H$2)</f>
        <v>#N/A</v>
      </c>
      <c r="J298" s="35" t="e">
        <f>MATCH(Tableau6[Jours Mois]&amp;"/"&amp;Tableau6[[#Headers],[2023]],tabSuiviConso[Jour Mois Année],0)</f>
        <v>#N/A</v>
      </c>
      <c r="K298" s="35" t="e">
        <f>Tableau6[[#This Row],[Cumul 2022]]-Tableau6[[#This Row],[Cumul 2021]]</f>
        <v>#N/A</v>
      </c>
      <c r="L298" s="37" t="e">
        <f>Tableau6[[#This Row],[Ecart 2021 2022]]/Tableau6[[#This Row],[Cumul 2021]]</f>
        <v>#N/A</v>
      </c>
      <c r="M298" s="35" t="str">
        <f>IF(ISNA(Tableau6[[#This Row],[Position 2023]]),"",INDEX(tabSuiviConso[HP + HC
cumul],Tableau6[[#This Row],[Position 2023]],1))</f>
        <v/>
      </c>
      <c r="N298" s="56" t="e">
        <f>IF(ISNA(Tableau6[[#This Row],[Position 2023]]),Tableau6[[#This Row],[Position 2023]],Tableau6[[#This Row],[2023]]-M$2)</f>
        <v>#N/A</v>
      </c>
      <c r="O298" s="35" t="e">
        <f>Tableau6[[#This Row],[Cumul 2023]]-Tableau6[[#This Row],[Cumul 2022]]</f>
        <v>#N/A</v>
      </c>
      <c r="P298" s="37" t="e">
        <f>Tableau6[[#This Row],[Ecart 2022 2023]]/Tableau6[[#This Row],[Cumul 2022]]</f>
        <v>#N/A</v>
      </c>
      <c r="Q298" s="35" t="e">
        <f>MATCH(Tableau6[Jours Mois]&amp;"/"&amp;Tableau6[[#Headers],[2024]],tabSuiviConso[Jour Mois Année],0)</f>
        <v>#N/A</v>
      </c>
      <c r="R298" s="35" t="str">
        <f>IF(ISNA(Tableau6[[#This Row],[Position 2024]]),"",INDEX(tabSuiviConso[HP + HC
cumul],Tableau6[[#This Row],[Position 2024]],1))</f>
        <v/>
      </c>
      <c r="S298" s="56" t="e">
        <f>IF(ISNA(Tableau6[[#This Row],[Position 2024]]),Tableau6[[#This Row],[Position 2024]],Tableau6[[#This Row],[2024]]-R$2)</f>
        <v>#N/A</v>
      </c>
      <c r="T298" s="35" t="e">
        <f>Tableau6[[#This Row],[Cumul 2024]]-Tableau6[[#This Row],[Cumul 2023]]</f>
        <v>#N/A</v>
      </c>
      <c r="U298" s="36" t="e">
        <f>Tableau6[[#This Row],[Ecart 2023 2024]]/Tableau6[[#This Row],[Cumul 2023]]</f>
        <v>#N/A</v>
      </c>
    </row>
    <row r="299" spans="1:21" x14ac:dyDescent="0.2">
      <c r="A299" s="35">
        <v>10</v>
      </c>
      <c r="B299" s="35">
        <v>23</v>
      </c>
      <c r="C299" s="35" t="str">
        <f>Tableau6[Jour]&amp;"/"&amp;Tableau6[Mois]</f>
        <v>23/10</v>
      </c>
      <c r="D299" s="35" t="e">
        <f>MATCH(Tableau6[Jours Mois]&amp;"/"&amp;Tableau6[[#Headers],[2021]],tabSuiviConso[Jour Mois Année],0)</f>
        <v>#N/A</v>
      </c>
      <c r="E299" s="35" t="str">
        <f>IF(ISNA(Tableau6[[#This Row],[Position 2021]]),"",INDEX(tabSuiviConso[HP + HC
cumul],Tableau6[[#This Row],[Position 2021]],1))</f>
        <v/>
      </c>
      <c r="F299" s="56" t="e">
        <f>IF(ISNA(Tableau6[[#This Row],[Position 2021]]),Tableau6[[#This Row],[Position 2021]],Tableau6[[#This Row],[2021]]-E$2)</f>
        <v>#N/A</v>
      </c>
      <c r="G299" s="35" t="e">
        <f>MATCH(Tableau6[Jours Mois]&amp;"/"&amp;Tableau6[[#Headers],[2022]],tabSuiviConso[Jour Mois Année],0)</f>
        <v>#N/A</v>
      </c>
      <c r="H299" s="35" t="str">
        <f>IF(ISNA(Tableau6[[#This Row],[Position 2022]]),"",INDEX(tabSuiviConso[HP + HC
cumul],Tableau6[[#This Row],[Position 2022]],1))</f>
        <v/>
      </c>
      <c r="I299" s="56" t="e">
        <f>IF(ISNA(Tableau6[[#This Row],[Position 2022]]),Tableau6[[#This Row],[Position 2022]],Tableau6[[#This Row],[2022]]-H$2)</f>
        <v>#N/A</v>
      </c>
      <c r="J299" s="35" t="e">
        <f>MATCH(Tableau6[Jours Mois]&amp;"/"&amp;Tableau6[[#Headers],[2023]],tabSuiviConso[Jour Mois Année],0)</f>
        <v>#N/A</v>
      </c>
      <c r="K299" s="35" t="e">
        <f>Tableau6[[#This Row],[Cumul 2022]]-Tableau6[[#This Row],[Cumul 2021]]</f>
        <v>#N/A</v>
      </c>
      <c r="L299" s="37" t="e">
        <f>Tableau6[[#This Row],[Ecart 2021 2022]]/Tableau6[[#This Row],[Cumul 2021]]</f>
        <v>#N/A</v>
      </c>
      <c r="M299" s="35" t="str">
        <f>IF(ISNA(Tableau6[[#This Row],[Position 2023]]),"",INDEX(tabSuiviConso[HP + HC
cumul],Tableau6[[#This Row],[Position 2023]],1))</f>
        <v/>
      </c>
      <c r="N299" s="56" t="e">
        <f>IF(ISNA(Tableau6[[#This Row],[Position 2023]]),Tableau6[[#This Row],[Position 2023]],Tableau6[[#This Row],[2023]]-M$2)</f>
        <v>#N/A</v>
      </c>
      <c r="O299" s="35" t="e">
        <f>Tableau6[[#This Row],[Cumul 2023]]-Tableau6[[#This Row],[Cumul 2022]]</f>
        <v>#N/A</v>
      </c>
      <c r="P299" s="37" t="e">
        <f>Tableau6[[#This Row],[Ecart 2022 2023]]/Tableau6[[#This Row],[Cumul 2022]]</f>
        <v>#N/A</v>
      </c>
      <c r="Q299" s="35" t="e">
        <f>MATCH(Tableau6[Jours Mois]&amp;"/"&amp;Tableau6[[#Headers],[2024]],tabSuiviConso[Jour Mois Année],0)</f>
        <v>#N/A</v>
      </c>
      <c r="R299" s="35" t="str">
        <f>IF(ISNA(Tableau6[[#This Row],[Position 2024]]),"",INDEX(tabSuiviConso[HP + HC
cumul],Tableau6[[#This Row],[Position 2024]],1))</f>
        <v/>
      </c>
      <c r="S299" s="56" t="e">
        <f>IF(ISNA(Tableau6[[#This Row],[Position 2024]]),Tableau6[[#This Row],[Position 2024]],Tableau6[[#This Row],[2024]]-R$2)</f>
        <v>#N/A</v>
      </c>
      <c r="T299" s="35" t="e">
        <f>Tableau6[[#This Row],[Cumul 2024]]-Tableau6[[#This Row],[Cumul 2023]]</f>
        <v>#N/A</v>
      </c>
      <c r="U299" s="36" t="e">
        <f>Tableau6[[#This Row],[Ecart 2023 2024]]/Tableau6[[#This Row],[Cumul 2023]]</f>
        <v>#N/A</v>
      </c>
    </row>
    <row r="300" spans="1:21" x14ac:dyDescent="0.2">
      <c r="A300" s="35">
        <v>10</v>
      </c>
      <c r="B300" s="35">
        <v>24</v>
      </c>
      <c r="C300" s="35" t="str">
        <f>Tableau6[Jour]&amp;"/"&amp;Tableau6[Mois]</f>
        <v>24/10</v>
      </c>
      <c r="D300" s="35" t="e">
        <f>MATCH(Tableau6[Jours Mois]&amp;"/"&amp;Tableau6[[#Headers],[2021]],tabSuiviConso[Jour Mois Année],0)</f>
        <v>#N/A</v>
      </c>
      <c r="E300" s="35" t="str">
        <f>IF(ISNA(Tableau6[[#This Row],[Position 2021]]),"",INDEX(tabSuiviConso[HP + HC
cumul],Tableau6[[#This Row],[Position 2021]],1))</f>
        <v/>
      </c>
      <c r="F300" s="56" t="e">
        <f>IF(ISNA(Tableau6[[#This Row],[Position 2021]]),Tableau6[[#This Row],[Position 2021]],Tableau6[[#This Row],[2021]]-E$2)</f>
        <v>#N/A</v>
      </c>
      <c r="G300" s="35" t="e">
        <f>MATCH(Tableau6[Jours Mois]&amp;"/"&amp;Tableau6[[#Headers],[2022]],tabSuiviConso[Jour Mois Année],0)</f>
        <v>#N/A</v>
      </c>
      <c r="H300" s="35" t="str">
        <f>IF(ISNA(Tableau6[[#This Row],[Position 2022]]),"",INDEX(tabSuiviConso[HP + HC
cumul],Tableau6[[#This Row],[Position 2022]],1))</f>
        <v/>
      </c>
      <c r="I300" s="56" t="e">
        <f>IF(ISNA(Tableau6[[#This Row],[Position 2022]]),Tableau6[[#This Row],[Position 2022]],Tableau6[[#This Row],[2022]]-H$2)</f>
        <v>#N/A</v>
      </c>
      <c r="J300" s="35" t="e">
        <f>MATCH(Tableau6[Jours Mois]&amp;"/"&amp;Tableau6[[#Headers],[2023]],tabSuiviConso[Jour Mois Année],0)</f>
        <v>#N/A</v>
      </c>
      <c r="K300" s="35" t="e">
        <f>Tableau6[[#This Row],[Cumul 2022]]-Tableau6[[#This Row],[Cumul 2021]]</f>
        <v>#N/A</v>
      </c>
      <c r="L300" s="37" t="e">
        <f>Tableau6[[#This Row],[Ecart 2021 2022]]/Tableau6[[#This Row],[Cumul 2021]]</f>
        <v>#N/A</v>
      </c>
      <c r="M300" s="35" t="str">
        <f>IF(ISNA(Tableau6[[#This Row],[Position 2023]]),"",INDEX(tabSuiviConso[HP + HC
cumul],Tableau6[[#This Row],[Position 2023]],1))</f>
        <v/>
      </c>
      <c r="N300" s="56" t="e">
        <f>IF(ISNA(Tableau6[[#This Row],[Position 2023]]),Tableau6[[#This Row],[Position 2023]],Tableau6[[#This Row],[2023]]-M$2)</f>
        <v>#N/A</v>
      </c>
      <c r="O300" s="35" t="e">
        <f>Tableau6[[#This Row],[Cumul 2023]]-Tableau6[[#This Row],[Cumul 2022]]</f>
        <v>#N/A</v>
      </c>
      <c r="P300" s="37" t="e">
        <f>Tableau6[[#This Row],[Ecart 2022 2023]]/Tableau6[[#This Row],[Cumul 2022]]</f>
        <v>#N/A</v>
      </c>
      <c r="Q300" s="35" t="e">
        <f>MATCH(Tableau6[Jours Mois]&amp;"/"&amp;Tableau6[[#Headers],[2024]],tabSuiviConso[Jour Mois Année],0)</f>
        <v>#N/A</v>
      </c>
      <c r="R300" s="35" t="str">
        <f>IF(ISNA(Tableau6[[#This Row],[Position 2024]]),"",INDEX(tabSuiviConso[HP + HC
cumul],Tableau6[[#This Row],[Position 2024]],1))</f>
        <v/>
      </c>
      <c r="S300" s="56" t="e">
        <f>IF(ISNA(Tableau6[[#This Row],[Position 2024]]),Tableau6[[#This Row],[Position 2024]],Tableau6[[#This Row],[2024]]-R$2)</f>
        <v>#N/A</v>
      </c>
      <c r="T300" s="35" t="e">
        <f>Tableau6[[#This Row],[Cumul 2024]]-Tableau6[[#This Row],[Cumul 2023]]</f>
        <v>#N/A</v>
      </c>
      <c r="U300" s="36" t="e">
        <f>Tableau6[[#This Row],[Ecart 2023 2024]]/Tableau6[[#This Row],[Cumul 2023]]</f>
        <v>#N/A</v>
      </c>
    </row>
    <row r="301" spans="1:21" x14ac:dyDescent="0.2">
      <c r="A301" s="35">
        <v>10</v>
      </c>
      <c r="B301" s="35">
        <v>25</v>
      </c>
      <c r="C301" s="35" t="str">
        <f>Tableau6[Jour]&amp;"/"&amp;Tableau6[Mois]</f>
        <v>25/10</v>
      </c>
      <c r="D301" s="35" t="e">
        <f>MATCH(Tableau6[Jours Mois]&amp;"/"&amp;Tableau6[[#Headers],[2021]],tabSuiviConso[Jour Mois Année],0)</f>
        <v>#N/A</v>
      </c>
      <c r="E301" s="35" t="str">
        <f>IF(ISNA(Tableau6[[#This Row],[Position 2021]]),"",INDEX(tabSuiviConso[HP + HC
cumul],Tableau6[[#This Row],[Position 2021]],1))</f>
        <v/>
      </c>
      <c r="F301" s="56" t="e">
        <f>IF(ISNA(Tableau6[[#This Row],[Position 2021]]),Tableau6[[#This Row],[Position 2021]],Tableau6[[#This Row],[2021]]-E$2)</f>
        <v>#N/A</v>
      </c>
      <c r="G301" s="35" t="e">
        <f>MATCH(Tableau6[Jours Mois]&amp;"/"&amp;Tableau6[[#Headers],[2022]],tabSuiviConso[Jour Mois Année],0)</f>
        <v>#N/A</v>
      </c>
      <c r="H301" s="35" t="str">
        <f>IF(ISNA(Tableau6[[#This Row],[Position 2022]]),"",INDEX(tabSuiviConso[HP + HC
cumul],Tableau6[[#This Row],[Position 2022]],1))</f>
        <v/>
      </c>
      <c r="I301" s="56" t="e">
        <f>IF(ISNA(Tableau6[[#This Row],[Position 2022]]),Tableau6[[#This Row],[Position 2022]],Tableau6[[#This Row],[2022]]-H$2)</f>
        <v>#N/A</v>
      </c>
      <c r="J301" s="35" t="e">
        <f>MATCH(Tableau6[Jours Mois]&amp;"/"&amp;Tableau6[[#Headers],[2023]],tabSuiviConso[Jour Mois Année],0)</f>
        <v>#N/A</v>
      </c>
      <c r="K301" s="35" t="e">
        <f>Tableau6[[#This Row],[Cumul 2022]]-Tableau6[[#This Row],[Cumul 2021]]</f>
        <v>#N/A</v>
      </c>
      <c r="L301" s="37" t="e">
        <f>Tableau6[[#This Row],[Ecart 2021 2022]]/Tableau6[[#This Row],[Cumul 2021]]</f>
        <v>#N/A</v>
      </c>
      <c r="M301" s="35" t="str">
        <f>IF(ISNA(Tableau6[[#This Row],[Position 2023]]),"",INDEX(tabSuiviConso[HP + HC
cumul],Tableau6[[#This Row],[Position 2023]],1))</f>
        <v/>
      </c>
      <c r="N301" s="56" t="e">
        <f>IF(ISNA(Tableau6[[#This Row],[Position 2023]]),Tableau6[[#This Row],[Position 2023]],Tableau6[[#This Row],[2023]]-M$2)</f>
        <v>#N/A</v>
      </c>
      <c r="O301" s="35" t="e">
        <f>Tableau6[[#This Row],[Cumul 2023]]-Tableau6[[#This Row],[Cumul 2022]]</f>
        <v>#N/A</v>
      </c>
      <c r="P301" s="37" t="e">
        <f>Tableau6[[#This Row],[Ecart 2022 2023]]/Tableau6[[#This Row],[Cumul 2022]]</f>
        <v>#N/A</v>
      </c>
      <c r="Q301" s="35" t="e">
        <f>MATCH(Tableau6[Jours Mois]&amp;"/"&amp;Tableau6[[#Headers],[2024]],tabSuiviConso[Jour Mois Année],0)</f>
        <v>#N/A</v>
      </c>
      <c r="R301" s="35" t="str">
        <f>IF(ISNA(Tableau6[[#This Row],[Position 2024]]),"",INDEX(tabSuiviConso[HP + HC
cumul],Tableau6[[#This Row],[Position 2024]],1))</f>
        <v/>
      </c>
      <c r="S301" s="56" t="e">
        <f>IF(ISNA(Tableau6[[#This Row],[Position 2024]]),Tableau6[[#This Row],[Position 2024]],Tableau6[[#This Row],[2024]]-R$2)</f>
        <v>#N/A</v>
      </c>
      <c r="T301" s="35" t="e">
        <f>Tableau6[[#This Row],[Cumul 2024]]-Tableau6[[#This Row],[Cumul 2023]]</f>
        <v>#N/A</v>
      </c>
      <c r="U301" s="36" t="e">
        <f>Tableau6[[#This Row],[Ecart 2023 2024]]/Tableau6[[#This Row],[Cumul 2023]]</f>
        <v>#N/A</v>
      </c>
    </row>
    <row r="302" spans="1:21" x14ac:dyDescent="0.2">
      <c r="A302" s="35">
        <v>10</v>
      </c>
      <c r="B302" s="35">
        <v>26</v>
      </c>
      <c r="C302" s="35" t="str">
        <f>Tableau6[Jour]&amp;"/"&amp;Tableau6[Mois]</f>
        <v>26/10</v>
      </c>
      <c r="D302" s="35" t="e">
        <f>MATCH(Tableau6[Jours Mois]&amp;"/"&amp;Tableau6[[#Headers],[2021]],tabSuiviConso[Jour Mois Année],0)</f>
        <v>#N/A</v>
      </c>
      <c r="E302" s="35" t="str">
        <f>IF(ISNA(Tableau6[[#This Row],[Position 2021]]),"",INDEX(tabSuiviConso[HP + HC
cumul],Tableau6[[#This Row],[Position 2021]],1))</f>
        <v/>
      </c>
      <c r="F302" s="56" t="e">
        <f>IF(ISNA(Tableau6[[#This Row],[Position 2021]]),Tableau6[[#This Row],[Position 2021]],Tableau6[[#This Row],[2021]]-E$2)</f>
        <v>#N/A</v>
      </c>
      <c r="G302" s="35" t="e">
        <f>MATCH(Tableau6[Jours Mois]&amp;"/"&amp;Tableau6[[#Headers],[2022]],tabSuiviConso[Jour Mois Année],0)</f>
        <v>#N/A</v>
      </c>
      <c r="H302" s="35" t="str">
        <f>IF(ISNA(Tableau6[[#This Row],[Position 2022]]),"",INDEX(tabSuiviConso[HP + HC
cumul],Tableau6[[#This Row],[Position 2022]],1))</f>
        <v/>
      </c>
      <c r="I302" s="56" t="e">
        <f>IF(ISNA(Tableau6[[#This Row],[Position 2022]]),Tableau6[[#This Row],[Position 2022]],Tableau6[[#This Row],[2022]]-H$2)</f>
        <v>#N/A</v>
      </c>
      <c r="J302" s="35" t="e">
        <f>MATCH(Tableau6[Jours Mois]&amp;"/"&amp;Tableau6[[#Headers],[2023]],tabSuiviConso[Jour Mois Année],0)</f>
        <v>#N/A</v>
      </c>
      <c r="K302" s="35" t="e">
        <f>Tableau6[[#This Row],[Cumul 2022]]-Tableau6[[#This Row],[Cumul 2021]]</f>
        <v>#N/A</v>
      </c>
      <c r="L302" s="37" t="e">
        <f>Tableau6[[#This Row],[Ecart 2021 2022]]/Tableau6[[#This Row],[Cumul 2021]]</f>
        <v>#N/A</v>
      </c>
      <c r="M302" s="35" t="str">
        <f>IF(ISNA(Tableau6[[#This Row],[Position 2023]]),"",INDEX(tabSuiviConso[HP + HC
cumul],Tableau6[[#This Row],[Position 2023]],1))</f>
        <v/>
      </c>
      <c r="N302" s="56" t="e">
        <f>IF(ISNA(Tableau6[[#This Row],[Position 2023]]),Tableau6[[#This Row],[Position 2023]],Tableau6[[#This Row],[2023]]-M$2)</f>
        <v>#N/A</v>
      </c>
      <c r="O302" s="35" t="e">
        <f>Tableau6[[#This Row],[Cumul 2023]]-Tableau6[[#This Row],[Cumul 2022]]</f>
        <v>#N/A</v>
      </c>
      <c r="P302" s="37" t="e">
        <f>Tableau6[[#This Row],[Ecart 2022 2023]]/Tableau6[[#This Row],[Cumul 2022]]</f>
        <v>#N/A</v>
      </c>
      <c r="Q302" s="35" t="e">
        <f>MATCH(Tableau6[Jours Mois]&amp;"/"&amp;Tableau6[[#Headers],[2024]],tabSuiviConso[Jour Mois Année],0)</f>
        <v>#N/A</v>
      </c>
      <c r="R302" s="35" t="str">
        <f>IF(ISNA(Tableau6[[#This Row],[Position 2024]]),"",INDEX(tabSuiviConso[HP + HC
cumul],Tableau6[[#This Row],[Position 2024]],1))</f>
        <v/>
      </c>
      <c r="S302" s="56" t="e">
        <f>IF(ISNA(Tableau6[[#This Row],[Position 2024]]),Tableau6[[#This Row],[Position 2024]],Tableau6[[#This Row],[2024]]-R$2)</f>
        <v>#N/A</v>
      </c>
      <c r="T302" s="35" t="e">
        <f>Tableau6[[#This Row],[Cumul 2024]]-Tableau6[[#This Row],[Cumul 2023]]</f>
        <v>#N/A</v>
      </c>
      <c r="U302" s="36" t="e">
        <f>Tableau6[[#This Row],[Ecart 2023 2024]]/Tableau6[[#This Row],[Cumul 2023]]</f>
        <v>#N/A</v>
      </c>
    </row>
    <row r="303" spans="1:21" x14ac:dyDescent="0.2">
      <c r="A303" s="35">
        <v>10</v>
      </c>
      <c r="B303" s="35">
        <v>27</v>
      </c>
      <c r="C303" s="35" t="str">
        <f>Tableau6[Jour]&amp;"/"&amp;Tableau6[Mois]</f>
        <v>27/10</v>
      </c>
      <c r="D303" s="35" t="e">
        <f>MATCH(Tableau6[Jours Mois]&amp;"/"&amp;Tableau6[[#Headers],[2021]],tabSuiviConso[Jour Mois Année],0)</f>
        <v>#N/A</v>
      </c>
      <c r="E303" s="35" t="str">
        <f>IF(ISNA(Tableau6[[#This Row],[Position 2021]]),"",INDEX(tabSuiviConso[HP + HC
cumul],Tableau6[[#This Row],[Position 2021]],1))</f>
        <v/>
      </c>
      <c r="F303" s="56" t="e">
        <f>IF(ISNA(Tableau6[[#This Row],[Position 2021]]),Tableau6[[#This Row],[Position 2021]],Tableau6[[#This Row],[2021]]-E$2)</f>
        <v>#N/A</v>
      </c>
      <c r="G303" s="35" t="e">
        <f>MATCH(Tableau6[Jours Mois]&amp;"/"&amp;Tableau6[[#Headers],[2022]],tabSuiviConso[Jour Mois Année],0)</f>
        <v>#N/A</v>
      </c>
      <c r="H303" s="35" t="str">
        <f>IF(ISNA(Tableau6[[#This Row],[Position 2022]]),"",INDEX(tabSuiviConso[HP + HC
cumul],Tableau6[[#This Row],[Position 2022]],1))</f>
        <v/>
      </c>
      <c r="I303" s="56" t="e">
        <f>IF(ISNA(Tableau6[[#This Row],[Position 2022]]),Tableau6[[#This Row],[Position 2022]],Tableau6[[#This Row],[2022]]-H$2)</f>
        <v>#N/A</v>
      </c>
      <c r="J303" s="35" t="e">
        <f>MATCH(Tableau6[Jours Mois]&amp;"/"&amp;Tableau6[[#Headers],[2023]],tabSuiviConso[Jour Mois Année],0)</f>
        <v>#N/A</v>
      </c>
      <c r="K303" s="35" t="e">
        <f>Tableau6[[#This Row],[Cumul 2022]]-Tableau6[[#This Row],[Cumul 2021]]</f>
        <v>#N/A</v>
      </c>
      <c r="L303" s="37" t="e">
        <f>Tableau6[[#This Row],[Ecart 2021 2022]]/Tableau6[[#This Row],[Cumul 2021]]</f>
        <v>#N/A</v>
      </c>
      <c r="M303" s="35" t="str">
        <f>IF(ISNA(Tableau6[[#This Row],[Position 2023]]),"",INDEX(tabSuiviConso[HP + HC
cumul],Tableau6[[#This Row],[Position 2023]],1))</f>
        <v/>
      </c>
      <c r="N303" s="56" t="e">
        <f>IF(ISNA(Tableau6[[#This Row],[Position 2023]]),Tableau6[[#This Row],[Position 2023]],Tableau6[[#This Row],[2023]]-M$2)</f>
        <v>#N/A</v>
      </c>
      <c r="O303" s="35" t="e">
        <f>Tableau6[[#This Row],[Cumul 2023]]-Tableau6[[#This Row],[Cumul 2022]]</f>
        <v>#N/A</v>
      </c>
      <c r="P303" s="37" t="e">
        <f>Tableau6[[#This Row],[Ecart 2022 2023]]/Tableau6[[#This Row],[Cumul 2022]]</f>
        <v>#N/A</v>
      </c>
      <c r="Q303" s="35" t="e">
        <f>MATCH(Tableau6[Jours Mois]&amp;"/"&amp;Tableau6[[#Headers],[2024]],tabSuiviConso[Jour Mois Année],0)</f>
        <v>#N/A</v>
      </c>
      <c r="R303" s="35" t="str">
        <f>IF(ISNA(Tableau6[[#This Row],[Position 2024]]),"",INDEX(tabSuiviConso[HP + HC
cumul],Tableau6[[#This Row],[Position 2024]],1))</f>
        <v/>
      </c>
      <c r="S303" s="56" t="e">
        <f>IF(ISNA(Tableau6[[#This Row],[Position 2024]]),Tableau6[[#This Row],[Position 2024]],Tableau6[[#This Row],[2024]]-R$2)</f>
        <v>#N/A</v>
      </c>
      <c r="T303" s="35" t="e">
        <f>Tableau6[[#This Row],[Cumul 2024]]-Tableau6[[#This Row],[Cumul 2023]]</f>
        <v>#N/A</v>
      </c>
      <c r="U303" s="36" t="e">
        <f>Tableau6[[#This Row],[Ecart 2023 2024]]/Tableau6[[#This Row],[Cumul 2023]]</f>
        <v>#N/A</v>
      </c>
    </row>
    <row r="304" spans="1:21" x14ac:dyDescent="0.2">
      <c r="A304" s="35">
        <v>10</v>
      </c>
      <c r="B304" s="35">
        <v>28</v>
      </c>
      <c r="C304" s="35" t="str">
        <f>Tableau6[Jour]&amp;"/"&amp;Tableau6[Mois]</f>
        <v>28/10</v>
      </c>
      <c r="D304" s="35" t="e">
        <f>MATCH(Tableau6[Jours Mois]&amp;"/"&amp;Tableau6[[#Headers],[2021]],tabSuiviConso[Jour Mois Année],0)</f>
        <v>#N/A</v>
      </c>
      <c r="E304" s="35" t="str">
        <f>IF(ISNA(Tableau6[[#This Row],[Position 2021]]),"",INDEX(tabSuiviConso[HP + HC
cumul],Tableau6[[#This Row],[Position 2021]],1))</f>
        <v/>
      </c>
      <c r="F304" s="56" t="e">
        <f>IF(ISNA(Tableau6[[#This Row],[Position 2021]]),Tableau6[[#This Row],[Position 2021]],Tableau6[[#This Row],[2021]]-E$2)</f>
        <v>#N/A</v>
      </c>
      <c r="G304" s="35" t="e">
        <f>MATCH(Tableau6[Jours Mois]&amp;"/"&amp;Tableau6[[#Headers],[2022]],tabSuiviConso[Jour Mois Année],0)</f>
        <v>#N/A</v>
      </c>
      <c r="H304" s="35" t="str">
        <f>IF(ISNA(Tableau6[[#This Row],[Position 2022]]),"",INDEX(tabSuiviConso[HP + HC
cumul],Tableau6[[#This Row],[Position 2022]],1))</f>
        <v/>
      </c>
      <c r="I304" s="56" t="e">
        <f>IF(ISNA(Tableau6[[#This Row],[Position 2022]]),Tableau6[[#This Row],[Position 2022]],Tableau6[[#This Row],[2022]]-H$2)</f>
        <v>#N/A</v>
      </c>
      <c r="J304" s="35" t="e">
        <f>MATCH(Tableau6[Jours Mois]&amp;"/"&amp;Tableau6[[#Headers],[2023]],tabSuiviConso[Jour Mois Année],0)</f>
        <v>#N/A</v>
      </c>
      <c r="K304" s="35" t="e">
        <f>Tableau6[[#This Row],[Cumul 2022]]-Tableau6[[#This Row],[Cumul 2021]]</f>
        <v>#N/A</v>
      </c>
      <c r="L304" s="37" t="e">
        <f>Tableau6[[#This Row],[Ecart 2021 2022]]/Tableau6[[#This Row],[Cumul 2021]]</f>
        <v>#N/A</v>
      </c>
      <c r="M304" s="35" t="str">
        <f>IF(ISNA(Tableau6[[#This Row],[Position 2023]]),"",INDEX(tabSuiviConso[HP + HC
cumul],Tableau6[[#This Row],[Position 2023]],1))</f>
        <v/>
      </c>
      <c r="N304" s="56" t="e">
        <f>IF(ISNA(Tableau6[[#This Row],[Position 2023]]),Tableau6[[#This Row],[Position 2023]],Tableau6[[#This Row],[2023]]-M$2)</f>
        <v>#N/A</v>
      </c>
      <c r="O304" s="35" t="e">
        <f>Tableau6[[#This Row],[Cumul 2023]]-Tableau6[[#This Row],[Cumul 2022]]</f>
        <v>#N/A</v>
      </c>
      <c r="P304" s="37" t="e">
        <f>Tableau6[[#This Row],[Ecart 2022 2023]]/Tableau6[[#This Row],[Cumul 2022]]</f>
        <v>#N/A</v>
      </c>
      <c r="Q304" s="35" t="e">
        <f>MATCH(Tableau6[Jours Mois]&amp;"/"&amp;Tableau6[[#Headers],[2024]],tabSuiviConso[Jour Mois Année],0)</f>
        <v>#N/A</v>
      </c>
      <c r="R304" s="35" t="str">
        <f>IF(ISNA(Tableau6[[#This Row],[Position 2024]]),"",INDEX(tabSuiviConso[HP + HC
cumul],Tableau6[[#This Row],[Position 2024]],1))</f>
        <v/>
      </c>
      <c r="S304" s="56" t="e">
        <f>IF(ISNA(Tableau6[[#This Row],[Position 2024]]),Tableau6[[#This Row],[Position 2024]],Tableau6[[#This Row],[2024]]-R$2)</f>
        <v>#N/A</v>
      </c>
      <c r="T304" s="35" t="e">
        <f>Tableau6[[#This Row],[Cumul 2024]]-Tableau6[[#This Row],[Cumul 2023]]</f>
        <v>#N/A</v>
      </c>
      <c r="U304" s="36" t="e">
        <f>Tableau6[[#This Row],[Ecart 2023 2024]]/Tableau6[[#This Row],[Cumul 2023]]</f>
        <v>#N/A</v>
      </c>
    </row>
    <row r="305" spans="1:21" x14ac:dyDescent="0.2">
      <c r="A305" s="35">
        <v>10</v>
      </c>
      <c r="B305" s="35">
        <v>29</v>
      </c>
      <c r="C305" s="35" t="str">
        <f>Tableau6[Jour]&amp;"/"&amp;Tableau6[Mois]</f>
        <v>29/10</v>
      </c>
      <c r="D305" s="35" t="e">
        <f>MATCH(Tableau6[Jours Mois]&amp;"/"&amp;Tableau6[[#Headers],[2021]],tabSuiviConso[Jour Mois Année],0)</f>
        <v>#N/A</v>
      </c>
      <c r="E305" s="35" t="str">
        <f>IF(ISNA(Tableau6[[#This Row],[Position 2021]]),"",INDEX(tabSuiviConso[HP + HC
cumul],Tableau6[[#This Row],[Position 2021]],1))</f>
        <v/>
      </c>
      <c r="F305" s="56" t="e">
        <f>IF(ISNA(Tableau6[[#This Row],[Position 2021]]),Tableau6[[#This Row],[Position 2021]],Tableau6[[#This Row],[2021]]-E$2)</f>
        <v>#N/A</v>
      </c>
      <c r="G305" s="35" t="e">
        <f>MATCH(Tableau6[Jours Mois]&amp;"/"&amp;Tableau6[[#Headers],[2022]],tabSuiviConso[Jour Mois Année],0)</f>
        <v>#N/A</v>
      </c>
      <c r="H305" s="35" t="str">
        <f>IF(ISNA(Tableau6[[#This Row],[Position 2022]]),"",INDEX(tabSuiviConso[HP + HC
cumul],Tableau6[[#This Row],[Position 2022]],1))</f>
        <v/>
      </c>
      <c r="I305" s="56" t="e">
        <f>IF(ISNA(Tableau6[[#This Row],[Position 2022]]),Tableau6[[#This Row],[Position 2022]],Tableau6[[#This Row],[2022]]-H$2)</f>
        <v>#N/A</v>
      </c>
      <c r="J305" s="35" t="e">
        <f>MATCH(Tableau6[Jours Mois]&amp;"/"&amp;Tableau6[[#Headers],[2023]],tabSuiviConso[Jour Mois Année],0)</f>
        <v>#N/A</v>
      </c>
      <c r="K305" s="35" t="e">
        <f>Tableau6[[#This Row],[Cumul 2022]]-Tableau6[[#This Row],[Cumul 2021]]</f>
        <v>#N/A</v>
      </c>
      <c r="L305" s="37" t="e">
        <f>Tableau6[[#This Row],[Ecart 2021 2022]]/Tableau6[[#This Row],[Cumul 2021]]</f>
        <v>#N/A</v>
      </c>
      <c r="M305" s="35" t="str">
        <f>IF(ISNA(Tableau6[[#This Row],[Position 2023]]),"",INDEX(tabSuiviConso[HP + HC
cumul],Tableau6[[#This Row],[Position 2023]],1))</f>
        <v/>
      </c>
      <c r="N305" s="56" t="e">
        <f>IF(ISNA(Tableau6[[#This Row],[Position 2023]]),Tableau6[[#This Row],[Position 2023]],Tableau6[[#This Row],[2023]]-M$2)</f>
        <v>#N/A</v>
      </c>
      <c r="O305" s="35" t="e">
        <f>Tableau6[[#This Row],[Cumul 2023]]-Tableau6[[#This Row],[Cumul 2022]]</f>
        <v>#N/A</v>
      </c>
      <c r="P305" s="37" t="e">
        <f>Tableau6[[#This Row],[Ecart 2022 2023]]/Tableau6[[#This Row],[Cumul 2022]]</f>
        <v>#N/A</v>
      </c>
      <c r="Q305" s="35" t="e">
        <f>MATCH(Tableau6[Jours Mois]&amp;"/"&amp;Tableau6[[#Headers],[2024]],tabSuiviConso[Jour Mois Année],0)</f>
        <v>#N/A</v>
      </c>
      <c r="R305" s="35" t="str">
        <f>IF(ISNA(Tableau6[[#This Row],[Position 2024]]),"",INDEX(tabSuiviConso[HP + HC
cumul],Tableau6[[#This Row],[Position 2024]],1))</f>
        <v/>
      </c>
      <c r="S305" s="56" t="e">
        <f>IF(ISNA(Tableau6[[#This Row],[Position 2024]]),Tableau6[[#This Row],[Position 2024]],Tableau6[[#This Row],[2024]]-R$2)</f>
        <v>#N/A</v>
      </c>
      <c r="T305" s="35" t="e">
        <f>Tableau6[[#This Row],[Cumul 2024]]-Tableau6[[#This Row],[Cumul 2023]]</f>
        <v>#N/A</v>
      </c>
      <c r="U305" s="36" t="e">
        <f>Tableau6[[#This Row],[Ecart 2023 2024]]/Tableau6[[#This Row],[Cumul 2023]]</f>
        <v>#N/A</v>
      </c>
    </row>
    <row r="306" spans="1:21" x14ac:dyDescent="0.2">
      <c r="A306" s="35">
        <v>10</v>
      </c>
      <c r="B306" s="35">
        <v>30</v>
      </c>
      <c r="C306" s="35" t="str">
        <f>Tableau6[Jour]&amp;"/"&amp;Tableau6[Mois]</f>
        <v>30/10</v>
      </c>
      <c r="D306" s="35" t="e">
        <f>MATCH(Tableau6[Jours Mois]&amp;"/"&amp;Tableau6[[#Headers],[2021]],tabSuiviConso[Jour Mois Année],0)</f>
        <v>#N/A</v>
      </c>
      <c r="E306" s="35" t="str">
        <f>IF(ISNA(Tableau6[[#This Row],[Position 2021]]),"",INDEX(tabSuiviConso[HP + HC
cumul],Tableau6[[#This Row],[Position 2021]],1))</f>
        <v/>
      </c>
      <c r="F306" s="56" t="e">
        <f>IF(ISNA(Tableau6[[#This Row],[Position 2021]]),Tableau6[[#This Row],[Position 2021]],Tableau6[[#This Row],[2021]]-E$2)</f>
        <v>#N/A</v>
      </c>
      <c r="G306" s="35" t="e">
        <f>MATCH(Tableau6[Jours Mois]&amp;"/"&amp;Tableau6[[#Headers],[2022]],tabSuiviConso[Jour Mois Année],0)</f>
        <v>#N/A</v>
      </c>
      <c r="H306" s="35" t="str">
        <f>IF(ISNA(Tableau6[[#This Row],[Position 2022]]),"",INDEX(tabSuiviConso[HP + HC
cumul],Tableau6[[#This Row],[Position 2022]],1))</f>
        <v/>
      </c>
      <c r="I306" s="56" t="e">
        <f>IF(ISNA(Tableau6[[#This Row],[Position 2022]]),Tableau6[[#This Row],[Position 2022]],Tableau6[[#This Row],[2022]]-H$2)</f>
        <v>#N/A</v>
      </c>
      <c r="J306" s="35" t="e">
        <f>MATCH(Tableau6[Jours Mois]&amp;"/"&amp;Tableau6[[#Headers],[2023]],tabSuiviConso[Jour Mois Année],0)</f>
        <v>#N/A</v>
      </c>
      <c r="K306" s="35" t="e">
        <f>Tableau6[[#This Row],[Cumul 2022]]-Tableau6[[#This Row],[Cumul 2021]]</f>
        <v>#N/A</v>
      </c>
      <c r="L306" s="37" t="e">
        <f>Tableau6[[#This Row],[Ecart 2021 2022]]/Tableau6[[#This Row],[Cumul 2021]]</f>
        <v>#N/A</v>
      </c>
      <c r="M306" s="35" t="str">
        <f>IF(ISNA(Tableau6[[#This Row],[Position 2023]]),"",INDEX(tabSuiviConso[HP + HC
cumul],Tableau6[[#This Row],[Position 2023]],1))</f>
        <v/>
      </c>
      <c r="N306" s="56" t="e">
        <f>IF(ISNA(Tableau6[[#This Row],[Position 2023]]),Tableau6[[#This Row],[Position 2023]],Tableau6[[#This Row],[2023]]-M$2)</f>
        <v>#N/A</v>
      </c>
      <c r="O306" s="35" t="e">
        <f>Tableau6[[#This Row],[Cumul 2023]]-Tableau6[[#This Row],[Cumul 2022]]</f>
        <v>#N/A</v>
      </c>
      <c r="P306" s="37" t="e">
        <f>Tableau6[[#This Row],[Ecart 2022 2023]]/Tableau6[[#This Row],[Cumul 2022]]</f>
        <v>#N/A</v>
      </c>
      <c r="Q306" s="35" t="e">
        <f>MATCH(Tableau6[Jours Mois]&amp;"/"&amp;Tableau6[[#Headers],[2024]],tabSuiviConso[Jour Mois Année],0)</f>
        <v>#N/A</v>
      </c>
      <c r="R306" s="35" t="str">
        <f>IF(ISNA(Tableau6[[#This Row],[Position 2024]]),"",INDEX(tabSuiviConso[HP + HC
cumul],Tableau6[[#This Row],[Position 2024]],1))</f>
        <v/>
      </c>
      <c r="S306" s="56" t="e">
        <f>IF(ISNA(Tableau6[[#This Row],[Position 2024]]),Tableau6[[#This Row],[Position 2024]],Tableau6[[#This Row],[2024]]-R$2)</f>
        <v>#N/A</v>
      </c>
      <c r="T306" s="35" t="e">
        <f>Tableau6[[#This Row],[Cumul 2024]]-Tableau6[[#This Row],[Cumul 2023]]</f>
        <v>#N/A</v>
      </c>
      <c r="U306" s="36" t="e">
        <f>Tableau6[[#This Row],[Ecart 2023 2024]]/Tableau6[[#This Row],[Cumul 2023]]</f>
        <v>#N/A</v>
      </c>
    </row>
    <row r="307" spans="1:21" x14ac:dyDescent="0.2">
      <c r="A307" s="35">
        <v>10</v>
      </c>
      <c r="B307" s="35">
        <v>31</v>
      </c>
      <c r="C307" s="35" t="str">
        <f>Tableau6[Jour]&amp;"/"&amp;Tableau6[Mois]</f>
        <v>31/10</v>
      </c>
      <c r="D307" s="35" t="e">
        <f>MATCH(Tableau6[Jours Mois]&amp;"/"&amp;Tableau6[[#Headers],[2021]],tabSuiviConso[Jour Mois Année],0)</f>
        <v>#N/A</v>
      </c>
      <c r="E307" s="35" t="str">
        <f>IF(ISNA(Tableau6[[#This Row],[Position 2021]]),"",INDEX(tabSuiviConso[HP + HC
cumul],Tableau6[[#This Row],[Position 2021]],1))</f>
        <v/>
      </c>
      <c r="F307" s="56" t="e">
        <f>IF(ISNA(Tableau6[[#This Row],[Position 2021]]),Tableau6[[#This Row],[Position 2021]],Tableau6[[#This Row],[2021]]-E$2)</f>
        <v>#N/A</v>
      </c>
      <c r="G307" s="35" t="e">
        <f>MATCH(Tableau6[Jours Mois]&amp;"/"&amp;Tableau6[[#Headers],[2022]],tabSuiviConso[Jour Mois Année],0)</f>
        <v>#N/A</v>
      </c>
      <c r="H307" s="35" t="str">
        <f>IF(ISNA(Tableau6[[#This Row],[Position 2022]]),"",INDEX(tabSuiviConso[HP + HC
cumul],Tableau6[[#This Row],[Position 2022]],1))</f>
        <v/>
      </c>
      <c r="I307" s="56" t="e">
        <f>IF(ISNA(Tableau6[[#This Row],[Position 2022]]),Tableau6[[#This Row],[Position 2022]],Tableau6[[#This Row],[2022]]-H$2)</f>
        <v>#N/A</v>
      </c>
      <c r="J307" s="35" t="e">
        <f>MATCH(Tableau6[Jours Mois]&amp;"/"&amp;Tableau6[[#Headers],[2023]],tabSuiviConso[Jour Mois Année],0)</f>
        <v>#N/A</v>
      </c>
      <c r="K307" s="35" t="e">
        <f>Tableau6[[#This Row],[Cumul 2022]]-Tableau6[[#This Row],[Cumul 2021]]</f>
        <v>#N/A</v>
      </c>
      <c r="L307" s="37" t="e">
        <f>Tableau6[[#This Row],[Ecart 2021 2022]]/Tableau6[[#This Row],[Cumul 2021]]</f>
        <v>#N/A</v>
      </c>
      <c r="M307" s="35" t="str">
        <f>IF(ISNA(Tableau6[[#This Row],[Position 2023]]),"",INDEX(tabSuiviConso[HP + HC
cumul],Tableau6[[#This Row],[Position 2023]],1))</f>
        <v/>
      </c>
      <c r="N307" s="56" t="e">
        <f>IF(ISNA(Tableau6[[#This Row],[Position 2023]]),Tableau6[[#This Row],[Position 2023]],Tableau6[[#This Row],[2023]]-M$2)</f>
        <v>#N/A</v>
      </c>
      <c r="O307" s="35" t="e">
        <f>Tableau6[[#This Row],[Cumul 2023]]-Tableau6[[#This Row],[Cumul 2022]]</f>
        <v>#N/A</v>
      </c>
      <c r="P307" s="37" t="e">
        <f>Tableau6[[#This Row],[Ecart 2022 2023]]/Tableau6[[#This Row],[Cumul 2022]]</f>
        <v>#N/A</v>
      </c>
      <c r="Q307" s="35" t="e">
        <f>MATCH(Tableau6[Jours Mois]&amp;"/"&amp;Tableau6[[#Headers],[2024]],tabSuiviConso[Jour Mois Année],0)</f>
        <v>#N/A</v>
      </c>
      <c r="R307" s="35" t="str">
        <f>IF(ISNA(Tableau6[[#This Row],[Position 2024]]),"",INDEX(tabSuiviConso[HP + HC
cumul],Tableau6[[#This Row],[Position 2024]],1))</f>
        <v/>
      </c>
      <c r="S307" s="56" t="e">
        <f>IF(ISNA(Tableau6[[#This Row],[Position 2024]]),Tableau6[[#This Row],[Position 2024]],Tableau6[[#This Row],[2024]]-R$2)</f>
        <v>#N/A</v>
      </c>
      <c r="T307" s="35" t="e">
        <f>Tableau6[[#This Row],[Cumul 2024]]-Tableau6[[#This Row],[Cumul 2023]]</f>
        <v>#N/A</v>
      </c>
      <c r="U307" s="36" t="e">
        <f>Tableau6[[#This Row],[Ecart 2023 2024]]/Tableau6[[#This Row],[Cumul 2023]]</f>
        <v>#N/A</v>
      </c>
    </row>
    <row r="308" spans="1:21" x14ac:dyDescent="0.2">
      <c r="A308" s="35">
        <v>11</v>
      </c>
      <c r="B308" s="35">
        <v>1</v>
      </c>
      <c r="C308" s="35" t="str">
        <f>Tableau6[Jour]&amp;"/"&amp;Tableau6[Mois]</f>
        <v>1/11</v>
      </c>
      <c r="D308" s="35" t="e">
        <f>MATCH(Tableau6[Jours Mois]&amp;"/"&amp;Tableau6[[#Headers],[2021]],tabSuiviConso[Jour Mois Année],0)</f>
        <v>#N/A</v>
      </c>
      <c r="E308" s="35" t="str">
        <f>IF(ISNA(Tableau6[[#This Row],[Position 2021]]),"",INDEX(tabSuiviConso[HP + HC
cumul],Tableau6[[#This Row],[Position 2021]],1))</f>
        <v/>
      </c>
      <c r="F308" s="56" t="e">
        <f>IF(ISNA(Tableau6[[#This Row],[Position 2021]]),Tableau6[[#This Row],[Position 2021]],Tableau6[[#This Row],[2021]]-E$2)</f>
        <v>#N/A</v>
      </c>
      <c r="G308" s="35" t="e">
        <f>MATCH(Tableau6[Jours Mois]&amp;"/"&amp;Tableau6[[#Headers],[2022]],tabSuiviConso[Jour Mois Année],0)</f>
        <v>#N/A</v>
      </c>
      <c r="H308" s="35" t="str">
        <f>IF(ISNA(Tableau6[[#This Row],[Position 2022]]),"",INDEX(tabSuiviConso[HP + HC
cumul],Tableau6[[#This Row],[Position 2022]],1))</f>
        <v/>
      </c>
      <c r="I308" s="56" t="e">
        <f>IF(ISNA(Tableau6[[#This Row],[Position 2022]]),Tableau6[[#This Row],[Position 2022]],Tableau6[[#This Row],[2022]]-H$2)</f>
        <v>#N/A</v>
      </c>
      <c r="J308" s="35" t="e">
        <f>MATCH(Tableau6[Jours Mois]&amp;"/"&amp;Tableau6[[#Headers],[2023]],tabSuiviConso[Jour Mois Année],0)</f>
        <v>#N/A</v>
      </c>
      <c r="K308" s="35" t="e">
        <f>Tableau6[[#This Row],[Cumul 2022]]-Tableau6[[#This Row],[Cumul 2021]]</f>
        <v>#N/A</v>
      </c>
      <c r="L308" s="37" t="e">
        <f>Tableau6[[#This Row],[Ecart 2021 2022]]/Tableau6[[#This Row],[Cumul 2021]]</f>
        <v>#N/A</v>
      </c>
      <c r="M308" s="35" t="str">
        <f>IF(ISNA(Tableau6[[#This Row],[Position 2023]]),"",INDEX(tabSuiviConso[HP + HC
cumul],Tableau6[[#This Row],[Position 2023]],1))</f>
        <v/>
      </c>
      <c r="N308" s="56" t="e">
        <f>IF(ISNA(Tableau6[[#This Row],[Position 2023]]),Tableau6[[#This Row],[Position 2023]],Tableau6[[#This Row],[2023]]-M$2)</f>
        <v>#N/A</v>
      </c>
      <c r="O308" s="35" t="e">
        <f>Tableau6[[#This Row],[Cumul 2023]]-Tableau6[[#This Row],[Cumul 2022]]</f>
        <v>#N/A</v>
      </c>
      <c r="P308" s="37" t="e">
        <f>Tableau6[[#This Row],[Ecart 2022 2023]]/Tableau6[[#This Row],[Cumul 2022]]</f>
        <v>#N/A</v>
      </c>
      <c r="Q308" s="35" t="e">
        <f>MATCH(Tableau6[Jours Mois]&amp;"/"&amp;Tableau6[[#Headers],[2024]],tabSuiviConso[Jour Mois Année],0)</f>
        <v>#N/A</v>
      </c>
      <c r="R308" s="35" t="str">
        <f>IF(ISNA(Tableau6[[#This Row],[Position 2024]]),"",INDEX(tabSuiviConso[HP + HC
cumul],Tableau6[[#This Row],[Position 2024]],1))</f>
        <v/>
      </c>
      <c r="S308" s="56" t="e">
        <f>IF(ISNA(Tableau6[[#This Row],[Position 2024]]),Tableau6[[#This Row],[Position 2024]],Tableau6[[#This Row],[2024]]-R$2)</f>
        <v>#N/A</v>
      </c>
      <c r="T308" s="35" t="e">
        <f>Tableau6[[#This Row],[Cumul 2024]]-Tableau6[[#This Row],[Cumul 2023]]</f>
        <v>#N/A</v>
      </c>
      <c r="U308" s="36" t="e">
        <f>Tableau6[[#This Row],[Ecart 2023 2024]]/Tableau6[[#This Row],[Cumul 2023]]</f>
        <v>#N/A</v>
      </c>
    </row>
    <row r="309" spans="1:21" x14ac:dyDescent="0.2">
      <c r="A309" s="35">
        <v>11</v>
      </c>
      <c r="B309" s="35">
        <v>2</v>
      </c>
      <c r="C309" s="35" t="str">
        <f>Tableau6[Jour]&amp;"/"&amp;Tableau6[Mois]</f>
        <v>2/11</v>
      </c>
      <c r="D309" s="35" t="e">
        <f>MATCH(Tableau6[Jours Mois]&amp;"/"&amp;Tableau6[[#Headers],[2021]],tabSuiviConso[Jour Mois Année],0)</f>
        <v>#N/A</v>
      </c>
      <c r="E309" s="35" t="str">
        <f>IF(ISNA(Tableau6[[#This Row],[Position 2021]]),"",INDEX(tabSuiviConso[HP + HC
cumul],Tableau6[[#This Row],[Position 2021]],1))</f>
        <v/>
      </c>
      <c r="F309" s="56" t="e">
        <f>IF(ISNA(Tableau6[[#This Row],[Position 2021]]),Tableau6[[#This Row],[Position 2021]],Tableau6[[#This Row],[2021]]-E$2)</f>
        <v>#N/A</v>
      </c>
      <c r="G309" s="35" t="e">
        <f>MATCH(Tableau6[Jours Mois]&amp;"/"&amp;Tableau6[[#Headers],[2022]],tabSuiviConso[Jour Mois Année],0)</f>
        <v>#N/A</v>
      </c>
      <c r="H309" s="35" t="str">
        <f>IF(ISNA(Tableau6[[#This Row],[Position 2022]]),"",INDEX(tabSuiviConso[HP + HC
cumul],Tableau6[[#This Row],[Position 2022]],1))</f>
        <v/>
      </c>
      <c r="I309" s="56" t="e">
        <f>IF(ISNA(Tableau6[[#This Row],[Position 2022]]),Tableau6[[#This Row],[Position 2022]],Tableau6[[#This Row],[2022]]-H$2)</f>
        <v>#N/A</v>
      </c>
      <c r="J309" s="35" t="e">
        <f>MATCH(Tableau6[Jours Mois]&amp;"/"&amp;Tableau6[[#Headers],[2023]],tabSuiviConso[Jour Mois Année],0)</f>
        <v>#N/A</v>
      </c>
      <c r="K309" s="35" t="e">
        <f>Tableau6[[#This Row],[Cumul 2022]]-Tableau6[[#This Row],[Cumul 2021]]</f>
        <v>#N/A</v>
      </c>
      <c r="L309" s="37" t="e">
        <f>Tableau6[[#This Row],[Ecart 2021 2022]]/Tableau6[[#This Row],[Cumul 2021]]</f>
        <v>#N/A</v>
      </c>
      <c r="M309" s="35" t="str">
        <f>IF(ISNA(Tableau6[[#This Row],[Position 2023]]),"",INDEX(tabSuiviConso[HP + HC
cumul],Tableau6[[#This Row],[Position 2023]],1))</f>
        <v/>
      </c>
      <c r="N309" s="56" t="e">
        <f>IF(ISNA(Tableau6[[#This Row],[Position 2023]]),Tableau6[[#This Row],[Position 2023]],Tableau6[[#This Row],[2023]]-M$2)</f>
        <v>#N/A</v>
      </c>
      <c r="O309" s="35" t="e">
        <f>Tableau6[[#This Row],[Cumul 2023]]-Tableau6[[#This Row],[Cumul 2022]]</f>
        <v>#N/A</v>
      </c>
      <c r="P309" s="37" t="e">
        <f>Tableau6[[#This Row],[Ecart 2022 2023]]/Tableau6[[#This Row],[Cumul 2022]]</f>
        <v>#N/A</v>
      </c>
      <c r="Q309" s="35" t="e">
        <f>MATCH(Tableau6[Jours Mois]&amp;"/"&amp;Tableau6[[#Headers],[2024]],tabSuiviConso[Jour Mois Année],0)</f>
        <v>#N/A</v>
      </c>
      <c r="R309" s="35" t="str">
        <f>IF(ISNA(Tableau6[[#This Row],[Position 2024]]),"",INDEX(tabSuiviConso[HP + HC
cumul],Tableau6[[#This Row],[Position 2024]],1))</f>
        <v/>
      </c>
      <c r="S309" s="56" t="e">
        <f>IF(ISNA(Tableau6[[#This Row],[Position 2024]]),Tableau6[[#This Row],[Position 2024]],Tableau6[[#This Row],[2024]]-R$2)</f>
        <v>#N/A</v>
      </c>
      <c r="T309" s="35" t="e">
        <f>Tableau6[[#This Row],[Cumul 2024]]-Tableau6[[#This Row],[Cumul 2023]]</f>
        <v>#N/A</v>
      </c>
      <c r="U309" s="36" t="e">
        <f>Tableau6[[#This Row],[Ecart 2023 2024]]/Tableau6[[#This Row],[Cumul 2023]]</f>
        <v>#N/A</v>
      </c>
    </row>
    <row r="310" spans="1:21" x14ac:dyDescent="0.2">
      <c r="A310" s="35">
        <v>11</v>
      </c>
      <c r="B310" s="35">
        <v>3</v>
      </c>
      <c r="C310" s="35" t="str">
        <f>Tableau6[Jour]&amp;"/"&amp;Tableau6[Mois]</f>
        <v>3/11</v>
      </c>
      <c r="D310" s="35" t="e">
        <f>MATCH(Tableau6[Jours Mois]&amp;"/"&amp;Tableau6[[#Headers],[2021]],tabSuiviConso[Jour Mois Année],0)</f>
        <v>#N/A</v>
      </c>
      <c r="E310" s="35" t="str">
        <f>IF(ISNA(Tableau6[[#This Row],[Position 2021]]),"",INDEX(tabSuiviConso[HP + HC
cumul],Tableau6[[#This Row],[Position 2021]],1))</f>
        <v/>
      </c>
      <c r="F310" s="56" t="e">
        <f>IF(ISNA(Tableau6[[#This Row],[Position 2021]]),Tableau6[[#This Row],[Position 2021]],Tableau6[[#This Row],[2021]]-E$2)</f>
        <v>#N/A</v>
      </c>
      <c r="G310" s="35" t="e">
        <f>MATCH(Tableau6[Jours Mois]&amp;"/"&amp;Tableau6[[#Headers],[2022]],tabSuiviConso[Jour Mois Année],0)</f>
        <v>#N/A</v>
      </c>
      <c r="H310" s="35" t="str">
        <f>IF(ISNA(Tableau6[[#This Row],[Position 2022]]),"",INDEX(tabSuiviConso[HP + HC
cumul],Tableau6[[#This Row],[Position 2022]],1))</f>
        <v/>
      </c>
      <c r="I310" s="56" t="e">
        <f>IF(ISNA(Tableau6[[#This Row],[Position 2022]]),Tableau6[[#This Row],[Position 2022]],Tableau6[[#This Row],[2022]]-H$2)</f>
        <v>#N/A</v>
      </c>
      <c r="J310" s="35" t="e">
        <f>MATCH(Tableau6[Jours Mois]&amp;"/"&amp;Tableau6[[#Headers],[2023]],tabSuiviConso[Jour Mois Année],0)</f>
        <v>#N/A</v>
      </c>
      <c r="K310" s="35" t="e">
        <f>Tableau6[[#This Row],[Cumul 2022]]-Tableau6[[#This Row],[Cumul 2021]]</f>
        <v>#N/A</v>
      </c>
      <c r="L310" s="37" t="e">
        <f>Tableau6[[#This Row],[Ecart 2021 2022]]/Tableau6[[#This Row],[Cumul 2021]]</f>
        <v>#N/A</v>
      </c>
      <c r="M310" s="35" t="str">
        <f>IF(ISNA(Tableau6[[#This Row],[Position 2023]]),"",INDEX(tabSuiviConso[HP + HC
cumul],Tableau6[[#This Row],[Position 2023]],1))</f>
        <v/>
      </c>
      <c r="N310" s="56" t="e">
        <f>IF(ISNA(Tableau6[[#This Row],[Position 2023]]),Tableau6[[#This Row],[Position 2023]],Tableau6[[#This Row],[2023]]-M$2)</f>
        <v>#N/A</v>
      </c>
      <c r="O310" s="35" t="e">
        <f>Tableau6[[#This Row],[Cumul 2023]]-Tableau6[[#This Row],[Cumul 2022]]</f>
        <v>#N/A</v>
      </c>
      <c r="P310" s="37" t="e">
        <f>Tableau6[[#This Row],[Ecart 2022 2023]]/Tableau6[[#This Row],[Cumul 2022]]</f>
        <v>#N/A</v>
      </c>
      <c r="Q310" s="35" t="e">
        <f>MATCH(Tableau6[Jours Mois]&amp;"/"&amp;Tableau6[[#Headers],[2024]],tabSuiviConso[Jour Mois Année],0)</f>
        <v>#N/A</v>
      </c>
      <c r="R310" s="35" t="str">
        <f>IF(ISNA(Tableau6[[#This Row],[Position 2024]]),"",INDEX(tabSuiviConso[HP + HC
cumul],Tableau6[[#This Row],[Position 2024]],1))</f>
        <v/>
      </c>
      <c r="S310" s="56" t="e">
        <f>IF(ISNA(Tableau6[[#This Row],[Position 2024]]),Tableau6[[#This Row],[Position 2024]],Tableau6[[#This Row],[2024]]-R$2)</f>
        <v>#N/A</v>
      </c>
      <c r="T310" s="35" t="e">
        <f>Tableau6[[#This Row],[Cumul 2024]]-Tableau6[[#This Row],[Cumul 2023]]</f>
        <v>#N/A</v>
      </c>
      <c r="U310" s="36" t="e">
        <f>Tableau6[[#This Row],[Ecart 2023 2024]]/Tableau6[[#This Row],[Cumul 2023]]</f>
        <v>#N/A</v>
      </c>
    </row>
    <row r="311" spans="1:21" x14ac:dyDescent="0.2">
      <c r="A311" s="35">
        <v>11</v>
      </c>
      <c r="B311" s="35">
        <v>4</v>
      </c>
      <c r="C311" s="35" t="str">
        <f>Tableau6[Jour]&amp;"/"&amp;Tableau6[Mois]</f>
        <v>4/11</v>
      </c>
      <c r="D311" s="35" t="e">
        <f>MATCH(Tableau6[Jours Mois]&amp;"/"&amp;Tableau6[[#Headers],[2021]],tabSuiviConso[Jour Mois Année],0)</f>
        <v>#N/A</v>
      </c>
      <c r="E311" s="35" t="str">
        <f>IF(ISNA(Tableau6[[#This Row],[Position 2021]]),"",INDEX(tabSuiviConso[HP + HC
cumul],Tableau6[[#This Row],[Position 2021]],1))</f>
        <v/>
      </c>
      <c r="F311" s="56" t="e">
        <f>IF(ISNA(Tableau6[[#This Row],[Position 2021]]),Tableau6[[#This Row],[Position 2021]],Tableau6[[#This Row],[2021]]-E$2)</f>
        <v>#N/A</v>
      </c>
      <c r="G311" s="35" t="e">
        <f>MATCH(Tableau6[Jours Mois]&amp;"/"&amp;Tableau6[[#Headers],[2022]],tabSuiviConso[Jour Mois Année],0)</f>
        <v>#N/A</v>
      </c>
      <c r="H311" s="35" t="str">
        <f>IF(ISNA(Tableau6[[#This Row],[Position 2022]]),"",INDEX(tabSuiviConso[HP + HC
cumul],Tableau6[[#This Row],[Position 2022]],1))</f>
        <v/>
      </c>
      <c r="I311" s="56" t="e">
        <f>IF(ISNA(Tableau6[[#This Row],[Position 2022]]),Tableau6[[#This Row],[Position 2022]],Tableau6[[#This Row],[2022]]-H$2)</f>
        <v>#N/A</v>
      </c>
      <c r="J311" s="35" t="e">
        <f>MATCH(Tableau6[Jours Mois]&amp;"/"&amp;Tableau6[[#Headers],[2023]],tabSuiviConso[Jour Mois Année],0)</f>
        <v>#N/A</v>
      </c>
      <c r="K311" s="35" t="e">
        <f>Tableau6[[#This Row],[Cumul 2022]]-Tableau6[[#This Row],[Cumul 2021]]</f>
        <v>#N/A</v>
      </c>
      <c r="L311" s="37" t="e">
        <f>Tableau6[[#This Row],[Ecart 2021 2022]]/Tableau6[[#This Row],[Cumul 2021]]</f>
        <v>#N/A</v>
      </c>
      <c r="M311" s="35" t="str">
        <f>IF(ISNA(Tableau6[[#This Row],[Position 2023]]),"",INDEX(tabSuiviConso[HP + HC
cumul],Tableau6[[#This Row],[Position 2023]],1))</f>
        <v/>
      </c>
      <c r="N311" s="56" t="e">
        <f>IF(ISNA(Tableau6[[#This Row],[Position 2023]]),Tableau6[[#This Row],[Position 2023]],Tableau6[[#This Row],[2023]]-M$2)</f>
        <v>#N/A</v>
      </c>
      <c r="O311" s="35" t="e">
        <f>Tableau6[[#This Row],[Cumul 2023]]-Tableau6[[#This Row],[Cumul 2022]]</f>
        <v>#N/A</v>
      </c>
      <c r="P311" s="37" t="e">
        <f>Tableau6[[#This Row],[Ecart 2022 2023]]/Tableau6[[#This Row],[Cumul 2022]]</f>
        <v>#N/A</v>
      </c>
      <c r="Q311" s="35" t="e">
        <f>MATCH(Tableau6[Jours Mois]&amp;"/"&amp;Tableau6[[#Headers],[2024]],tabSuiviConso[Jour Mois Année],0)</f>
        <v>#N/A</v>
      </c>
      <c r="R311" s="35" t="str">
        <f>IF(ISNA(Tableau6[[#This Row],[Position 2024]]),"",INDEX(tabSuiviConso[HP + HC
cumul],Tableau6[[#This Row],[Position 2024]],1))</f>
        <v/>
      </c>
      <c r="S311" s="56" t="e">
        <f>IF(ISNA(Tableau6[[#This Row],[Position 2024]]),Tableau6[[#This Row],[Position 2024]],Tableau6[[#This Row],[2024]]-R$2)</f>
        <v>#N/A</v>
      </c>
      <c r="T311" s="35" t="e">
        <f>Tableau6[[#This Row],[Cumul 2024]]-Tableau6[[#This Row],[Cumul 2023]]</f>
        <v>#N/A</v>
      </c>
      <c r="U311" s="36" t="e">
        <f>Tableau6[[#This Row],[Ecart 2023 2024]]/Tableau6[[#This Row],[Cumul 2023]]</f>
        <v>#N/A</v>
      </c>
    </row>
    <row r="312" spans="1:21" x14ac:dyDescent="0.2">
      <c r="A312" s="35">
        <v>11</v>
      </c>
      <c r="B312" s="35">
        <v>5</v>
      </c>
      <c r="C312" s="35" t="str">
        <f>Tableau6[Jour]&amp;"/"&amp;Tableau6[Mois]</f>
        <v>5/11</v>
      </c>
      <c r="D312" s="35" t="e">
        <f>MATCH(Tableau6[Jours Mois]&amp;"/"&amp;Tableau6[[#Headers],[2021]],tabSuiviConso[Jour Mois Année],0)</f>
        <v>#N/A</v>
      </c>
      <c r="E312" s="35" t="str">
        <f>IF(ISNA(Tableau6[[#This Row],[Position 2021]]),"",INDEX(tabSuiviConso[HP + HC
cumul],Tableau6[[#This Row],[Position 2021]],1))</f>
        <v/>
      </c>
      <c r="F312" s="56" t="e">
        <f>IF(ISNA(Tableau6[[#This Row],[Position 2021]]),Tableau6[[#This Row],[Position 2021]],Tableau6[[#This Row],[2021]]-E$2)</f>
        <v>#N/A</v>
      </c>
      <c r="G312" s="35" t="e">
        <f>MATCH(Tableau6[Jours Mois]&amp;"/"&amp;Tableau6[[#Headers],[2022]],tabSuiviConso[Jour Mois Année],0)</f>
        <v>#N/A</v>
      </c>
      <c r="H312" s="35" t="str">
        <f>IF(ISNA(Tableau6[[#This Row],[Position 2022]]),"",INDEX(tabSuiviConso[HP + HC
cumul],Tableau6[[#This Row],[Position 2022]],1))</f>
        <v/>
      </c>
      <c r="I312" s="56" t="e">
        <f>IF(ISNA(Tableau6[[#This Row],[Position 2022]]),Tableau6[[#This Row],[Position 2022]],Tableau6[[#This Row],[2022]]-H$2)</f>
        <v>#N/A</v>
      </c>
      <c r="J312" s="35" t="e">
        <f>MATCH(Tableau6[Jours Mois]&amp;"/"&amp;Tableau6[[#Headers],[2023]],tabSuiviConso[Jour Mois Année],0)</f>
        <v>#N/A</v>
      </c>
      <c r="K312" s="35" t="e">
        <f>Tableau6[[#This Row],[Cumul 2022]]-Tableau6[[#This Row],[Cumul 2021]]</f>
        <v>#N/A</v>
      </c>
      <c r="L312" s="37" t="e">
        <f>Tableau6[[#This Row],[Ecart 2021 2022]]/Tableau6[[#This Row],[Cumul 2021]]</f>
        <v>#N/A</v>
      </c>
      <c r="M312" s="35" t="str">
        <f>IF(ISNA(Tableau6[[#This Row],[Position 2023]]),"",INDEX(tabSuiviConso[HP + HC
cumul],Tableau6[[#This Row],[Position 2023]],1))</f>
        <v/>
      </c>
      <c r="N312" s="56" t="e">
        <f>IF(ISNA(Tableau6[[#This Row],[Position 2023]]),Tableau6[[#This Row],[Position 2023]],Tableau6[[#This Row],[2023]]-M$2)</f>
        <v>#N/A</v>
      </c>
      <c r="O312" s="35" t="e">
        <f>Tableau6[[#This Row],[Cumul 2023]]-Tableau6[[#This Row],[Cumul 2022]]</f>
        <v>#N/A</v>
      </c>
      <c r="P312" s="37" t="e">
        <f>Tableau6[[#This Row],[Ecart 2022 2023]]/Tableau6[[#This Row],[Cumul 2022]]</f>
        <v>#N/A</v>
      </c>
      <c r="Q312" s="35" t="e">
        <f>MATCH(Tableau6[Jours Mois]&amp;"/"&amp;Tableau6[[#Headers],[2024]],tabSuiviConso[Jour Mois Année],0)</f>
        <v>#N/A</v>
      </c>
      <c r="R312" s="35" t="str">
        <f>IF(ISNA(Tableau6[[#This Row],[Position 2024]]),"",INDEX(tabSuiviConso[HP + HC
cumul],Tableau6[[#This Row],[Position 2024]],1))</f>
        <v/>
      </c>
      <c r="S312" s="56" t="e">
        <f>IF(ISNA(Tableau6[[#This Row],[Position 2024]]),Tableau6[[#This Row],[Position 2024]],Tableau6[[#This Row],[2024]]-R$2)</f>
        <v>#N/A</v>
      </c>
      <c r="T312" s="35" t="e">
        <f>Tableau6[[#This Row],[Cumul 2024]]-Tableau6[[#This Row],[Cumul 2023]]</f>
        <v>#N/A</v>
      </c>
      <c r="U312" s="36" t="e">
        <f>Tableau6[[#This Row],[Ecart 2023 2024]]/Tableau6[[#This Row],[Cumul 2023]]</f>
        <v>#N/A</v>
      </c>
    </row>
    <row r="313" spans="1:21" x14ac:dyDescent="0.2">
      <c r="A313" s="35">
        <v>11</v>
      </c>
      <c r="B313" s="35">
        <v>6</v>
      </c>
      <c r="C313" s="35" t="str">
        <f>Tableau6[Jour]&amp;"/"&amp;Tableau6[Mois]</f>
        <v>6/11</v>
      </c>
      <c r="D313" s="35" t="e">
        <f>MATCH(Tableau6[Jours Mois]&amp;"/"&amp;Tableau6[[#Headers],[2021]],tabSuiviConso[Jour Mois Année],0)</f>
        <v>#N/A</v>
      </c>
      <c r="E313" s="35" t="str">
        <f>IF(ISNA(Tableau6[[#This Row],[Position 2021]]),"",INDEX(tabSuiviConso[HP + HC
cumul],Tableau6[[#This Row],[Position 2021]],1))</f>
        <v/>
      </c>
      <c r="F313" s="56" t="e">
        <f>IF(ISNA(Tableau6[[#This Row],[Position 2021]]),Tableau6[[#This Row],[Position 2021]],Tableau6[[#This Row],[2021]]-E$2)</f>
        <v>#N/A</v>
      </c>
      <c r="G313" s="35" t="e">
        <f>MATCH(Tableau6[Jours Mois]&amp;"/"&amp;Tableau6[[#Headers],[2022]],tabSuiviConso[Jour Mois Année],0)</f>
        <v>#N/A</v>
      </c>
      <c r="H313" s="35" t="str">
        <f>IF(ISNA(Tableau6[[#This Row],[Position 2022]]),"",INDEX(tabSuiviConso[HP + HC
cumul],Tableau6[[#This Row],[Position 2022]],1))</f>
        <v/>
      </c>
      <c r="I313" s="56" t="e">
        <f>IF(ISNA(Tableau6[[#This Row],[Position 2022]]),Tableau6[[#This Row],[Position 2022]],Tableau6[[#This Row],[2022]]-H$2)</f>
        <v>#N/A</v>
      </c>
      <c r="J313" s="35" t="e">
        <f>MATCH(Tableau6[Jours Mois]&amp;"/"&amp;Tableau6[[#Headers],[2023]],tabSuiviConso[Jour Mois Année],0)</f>
        <v>#N/A</v>
      </c>
      <c r="K313" s="35" t="e">
        <f>Tableau6[[#This Row],[Cumul 2022]]-Tableau6[[#This Row],[Cumul 2021]]</f>
        <v>#N/A</v>
      </c>
      <c r="L313" s="37" t="e">
        <f>Tableau6[[#This Row],[Ecart 2021 2022]]/Tableau6[[#This Row],[Cumul 2021]]</f>
        <v>#N/A</v>
      </c>
      <c r="M313" s="35" t="str">
        <f>IF(ISNA(Tableau6[[#This Row],[Position 2023]]),"",INDEX(tabSuiviConso[HP + HC
cumul],Tableau6[[#This Row],[Position 2023]],1))</f>
        <v/>
      </c>
      <c r="N313" s="56" t="e">
        <f>IF(ISNA(Tableau6[[#This Row],[Position 2023]]),Tableau6[[#This Row],[Position 2023]],Tableau6[[#This Row],[2023]]-M$2)</f>
        <v>#N/A</v>
      </c>
      <c r="O313" s="35" t="e">
        <f>Tableau6[[#This Row],[Cumul 2023]]-Tableau6[[#This Row],[Cumul 2022]]</f>
        <v>#N/A</v>
      </c>
      <c r="P313" s="37" t="e">
        <f>Tableau6[[#This Row],[Ecart 2022 2023]]/Tableau6[[#This Row],[Cumul 2022]]</f>
        <v>#N/A</v>
      </c>
      <c r="Q313" s="35" t="e">
        <f>MATCH(Tableau6[Jours Mois]&amp;"/"&amp;Tableau6[[#Headers],[2024]],tabSuiviConso[Jour Mois Année],0)</f>
        <v>#N/A</v>
      </c>
      <c r="R313" s="35" t="str">
        <f>IF(ISNA(Tableau6[[#This Row],[Position 2024]]),"",INDEX(tabSuiviConso[HP + HC
cumul],Tableau6[[#This Row],[Position 2024]],1))</f>
        <v/>
      </c>
      <c r="S313" s="56" t="e">
        <f>IF(ISNA(Tableau6[[#This Row],[Position 2024]]),Tableau6[[#This Row],[Position 2024]],Tableau6[[#This Row],[2024]]-R$2)</f>
        <v>#N/A</v>
      </c>
      <c r="T313" s="35" t="e">
        <f>Tableau6[[#This Row],[Cumul 2024]]-Tableau6[[#This Row],[Cumul 2023]]</f>
        <v>#N/A</v>
      </c>
      <c r="U313" s="36" t="e">
        <f>Tableau6[[#This Row],[Ecart 2023 2024]]/Tableau6[[#This Row],[Cumul 2023]]</f>
        <v>#N/A</v>
      </c>
    </row>
    <row r="314" spans="1:21" x14ac:dyDescent="0.2">
      <c r="A314" s="35">
        <v>11</v>
      </c>
      <c r="B314" s="35">
        <v>7</v>
      </c>
      <c r="C314" s="35" t="str">
        <f>Tableau6[Jour]&amp;"/"&amp;Tableau6[Mois]</f>
        <v>7/11</v>
      </c>
      <c r="D314" s="35" t="e">
        <f>MATCH(Tableau6[Jours Mois]&amp;"/"&amp;Tableau6[[#Headers],[2021]],tabSuiviConso[Jour Mois Année],0)</f>
        <v>#N/A</v>
      </c>
      <c r="E314" s="35" t="str">
        <f>IF(ISNA(Tableau6[[#This Row],[Position 2021]]),"",INDEX(tabSuiviConso[HP + HC
cumul],Tableau6[[#This Row],[Position 2021]],1))</f>
        <v/>
      </c>
      <c r="F314" s="56" t="e">
        <f>IF(ISNA(Tableau6[[#This Row],[Position 2021]]),Tableau6[[#This Row],[Position 2021]],Tableau6[[#This Row],[2021]]-E$2)</f>
        <v>#N/A</v>
      </c>
      <c r="G314" s="35" t="e">
        <f>MATCH(Tableau6[Jours Mois]&amp;"/"&amp;Tableau6[[#Headers],[2022]],tabSuiviConso[Jour Mois Année],0)</f>
        <v>#N/A</v>
      </c>
      <c r="H314" s="35" t="str">
        <f>IF(ISNA(Tableau6[[#This Row],[Position 2022]]),"",INDEX(tabSuiviConso[HP + HC
cumul],Tableau6[[#This Row],[Position 2022]],1))</f>
        <v/>
      </c>
      <c r="I314" s="56" t="e">
        <f>IF(ISNA(Tableau6[[#This Row],[Position 2022]]),Tableau6[[#This Row],[Position 2022]],Tableau6[[#This Row],[2022]]-H$2)</f>
        <v>#N/A</v>
      </c>
      <c r="J314" s="35" t="e">
        <f>MATCH(Tableau6[Jours Mois]&amp;"/"&amp;Tableau6[[#Headers],[2023]],tabSuiviConso[Jour Mois Année],0)</f>
        <v>#N/A</v>
      </c>
      <c r="K314" s="35" t="e">
        <f>Tableau6[[#This Row],[Cumul 2022]]-Tableau6[[#This Row],[Cumul 2021]]</f>
        <v>#N/A</v>
      </c>
      <c r="L314" s="37" t="e">
        <f>Tableau6[[#This Row],[Ecart 2021 2022]]/Tableau6[[#This Row],[Cumul 2021]]</f>
        <v>#N/A</v>
      </c>
      <c r="M314" s="35" t="str">
        <f>IF(ISNA(Tableau6[[#This Row],[Position 2023]]),"",INDEX(tabSuiviConso[HP + HC
cumul],Tableau6[[#This Row],[Position 2023]],1))</f>
        <v/>
      </c>
      <c r="N314" s="56" t="e">
        <f>IF(ISNA(Tableau6[[#This Row],[Position 2023]]),Tableau6[[#This Row],[Position 2023]],Tableau6[[#This Row],[2023]]-M$2)</f>
        <v>#N/A</v>
      </c>
      <c r="O314" s="35" t="e">
        <f>Tableau6[[#This Row],[Cumul 2023]]-Tableau6[[#This Row],[Cumul 2022]]</f>
        <v>#N/A</v>
      </c>
      <c r="P314" s="37" t="e">
        <f>Tableau6[[#This Row],[Ecart 2022 2023]]/Tableau6[[#This Row],[Cumul 2022]]</f>
        <v>#N/A</v>
      </c>
      <c r="Q314" s="35" t="e">
        <f>MATCH(Tableau6[Jours Mois]&amp;"/"&amp;Tableau6[[#Headers],[2024]],tabSuiviConso[Jour Mois Année],0)</f>
        <v>#N/A</v>
      </c>
      <c r="R314" s="35" t="str">
        <f>IF(ISNA(Tableau6[[#This Row],[Position 2024]]),"",INDEX(tabSuiviConso[HP + HC
cumul],Tableau6[[#This Row],[Position 2024]],1))</f>
        <v/>
      </c>
      <c r="S314" s="56" t="e">
        <f>IF(ISNA(Tableau6[[#This Row],[Position 2024]]),Tableau6[[#This Row],[Position 2024]],Tableau6[[#This Row],[2024]]-R$2)</f>
        <v>#N/A</v>
      </c>
      <c r="T314" s="35" t="e">
        <f>Tableau6[[#This Row],[Cumul 2024]]-Tableau6[[#This Row],[Cumul 2023]]</f>
        <v>#N/A</v>
      </c>
      <c r="U314" s="36" t="e">
        <f>Tableau6[[#This Row],[Ecart 2023 2024]]/Tableau6[[#This Row],[Cumul 2023]]</f>
        <v>#N/A</v>
      </c>
    </row>
    <row r="315" spans="1:21" x14ac:dyDescent="0.2">
      <c r="A315" s="35">
        <v>11</v>
      </c>
      <c r="B315" s="35">
        <v>8</v>
      </c>
      <c r="C315" s="35" t="str">
        <f>Tableau6[Jour]&amp;"/"&amp;Tableau6[Mois]</f>
        <v>8/11</v>
      </c>
      <c r="D315" s="35" t="e">
        <f>MATCH(Tableau6[Jours Mois]&amp;"/"&amp;Tableau6[[#Headers],[2021]],tabSuiviConso[Jour Mois Année],0)</f>
        <v>#N/A</v>
      </c>
      <c r="E315" s="35" t="str">
        <f>IF(ISNA(Tableau6[[#This Row],[Position 2021]]),"",INDEX(tabSuiviConso[HP + HC
cumul],Tableau6[[#This Row],[Position 2021]],1))</f>
        <v/>
      </c>
      <c r="F315" s="56" t="e">
        <f>IF(ISNA(Tableau6[[#This Row],[Position 2021]]),Tableau6[[#This Row],[Position 2021]],Tableau6[[#This Row],[2021]]-E$2)</f>
        <v>#N/A</v>
      </c>
      <c r="G315" s="35" t="e">
        <f>MATCH(Tableau6[Jours Mois]&amp;"/"&amp;Tableau6[[#Headers],[2022]],tabSuiviConso[Jour Mois Année],0)</f>
        <v>#N/A</v>
      </c>
      <c r="H315" s="35" t="str">
        <f>IF(ISNA(Tableau6[[#This Row],[Position 2022]]),"",INDEX(tabSuiviConso[HP + HC
cumul],Tableau6[[#This Row],[Position 2022]],1))</f>
        <v/>
      </c>
      <c r="I315" s="56" t="e">
        <f>IF(ISNA(Tableau6[[#This Row],[Position 2022]]),Tableau6[[#This Row],[Position 2022]],Tableau6[[#This Row],[2022]]-H$2)</f>
        <v>#N/A</v>
      </c>
      <c r="J315" s="35" t="e">
        <f>MATCH(Tableau6[Jours Mois]&amp;"/"&amp;Tableau6[[#Headers],[2023]],tabSuiviConso[Jour Mois Année],0)</f>
        <v>#N/A</v>
      </c>
      <c r="K315" s="35" t="e">
        <f>Tableau6[[#This Row],[Cumul 2022]]-Tableau6[[#This Row],[Cumul 2021]]</f>
        <v>#N/A</v>
      </c>
      <c r="L315" s="37" t="e">
        <f>Tableau6[[#This Row],[Ecart 2021 2022]]/Tableau6[[#This Row],[Cumul 2021]]</f>
        <v>#N/A</v>
      </c>
      <c r="M315" s="35" t="str">
        <f>IF(ISNA(Tableau6[[#This Row],[Position 2023]]),"",INDEX(tabSuiviConso[HP + HC
cumul],Tableau6[[#This Row],[Position 2023]],1))</f>
        <v/>
      </c>
      <c r="N315" s="56" t="e">
        <f>IF(ISNA(Tableau6[[#This Row],[Position 2023]]),Tableau6[[#This Row],[Position 2023]],Tableau6[[#This Row],[2023]]-M$2)</f>
        <v>#N/A</v>
      </c>
      <c r="O315" s="35" t="e">
        <f>Tableau6[[#This Row],[Cumul 2023]]-Tableau6[[#This Row],[Cumul 2022]]</f>
        <v>#N/A</v>
      </c>
      <c r="P315" s="37" t="e">
        <f>Tableau6[[#This Row],[Ecart 2022 2023]]/Tableau6[[#This Row],[Cumul 2022]]</f>
        <v>#N/A</v>
      </c>
      <c r="Q315" s="35" t="e">
        <f>MATCH(Tableau6[Jours Mois]&amp;"/"&amp;Tableau6[[#Headers],[2024]],tabSuiviConso[Jour Mois Année],0)</f>
        <v>#N/A</v>
      </c>
      <c r="R315" s="35" t="str">
        <f>IF(ISNA(Tableau6[[#This Row],[Position 2024]]),"",INDEX(tabSuiviConso[HP + HC
cumul],Tableau6[[#This Row],[Position 2024]],1))</f>
        <v/>
      </c>
      <c r="S315" s="56" t="e">
        <f>IF(ISNA(Tableau6[[#This Row],[Position 2024]]),Tableau6[[#This Row],[Position 2024]],Tableau6[[#This Row],[2024]]-R$2)</f>
        <v>#N/A</v>
      </c>
      <c r="T315" s="35" t="e">
        <f>Tableau6[[#This Row],[Cumul 2024]]-Tableau6[[#This Row],[Cumul 2023]]</f>
        <v>#N/A</v>
      </c>
      <c r="U315" s="36" t="e">
        <f>Tableau6[[#This Row],[Ecart 2023 2024]]/Tableau6[[#This Row],[Cumul 2023]]</f>
        <v>#N/A</v>
      </c>
    </row>
    <row r="316" spans="1:21" x14ac:dyDescent="0.2">
      <c r="A316" s="35">
        <v>11</v>
      </c>
      <c r="B316" s="35">
        <v>9</v>
      </c>
      <c r="C316" s="35" t="str">
        <f>Tableau6[Jour]&amp;"/"&amp;Tableau6[Mois]</f>
        <v>9/11</v>
      </c>
      <c r="D316" s="35" t="e">
        <f>MATCH(Tableau6[Jours Mois]&amp;"/"&amp;Tableau6[[#Headers],[2021]],tabSuiviConso[Jour Mois Année],0)</f>
        <v>#N/A</v>
      </c>
      <c r="E316" s="35" t="str">
        <f>IF(ISNA(Tableau6[[#This Row],[Position 2021]]),"",INDEX(tabSuiviConso[HP + HC
cumul],Tableau6[[#This Row],[Position 2021]],1))</f>
        <v/>
      </c>
      <c r="F316" s="56" t="e">
        <f>IF(ISNA(Tableau6[[#This Row],[Position 2021]]),Tableau6[[#This Row],[Position 2021]],Tableau6[[#This Row],[2021]]-E$2)</f>
        <v>#N/A</v>
      </c>
      <c r="G316" s="35" t="e">
        <f>MATCH(Tableau6[Jours Mois]&amp;"/"&amp;Tableau6[[#Headers],[2022]],tabSuiviConso[Jour Mois Année],0)</f>
        <v>#N/A</v>
      </c>
      <c r="H316" s="35" t="str">
        <f>IF(ISNA(Tableau6[[#This Row],[Position 2022]]),"",INDEX(tabSuiviConso[HP + HC
cumul],Tableau6[[#This Row],[Position 2022]],1))</f>
        <v/>
      </c>
      <c r="I316" s="56" t="e">
        <f>IF(ISNA(Tableau6[[#This Row],[Position 2022]]),Tableau6[[#This Row],[Position 2022]],Tableau6[[#This Row],[2022]]-H$2)</f>
        <v>#N/A</v>
      </c>
      <c r="J316" s="35" t="e">
        <f>MATCH(Tableau6[Jours Mois]&amp;"/"&amp;Tableau6[[#Headers],[2023]],tabSuiviConso[Jour Mois Année],0)</f>
        <v>#N/A</v>
      </c>
      <c r="K316" s="35" t="e">
        <f>Tableau6[[#This Row],[Cumul 2022]]-Tableau6[[#This Row],[Cumul 2021]]</f>
        <v>#N/A</v>
      </c>
      <c r="L316" s="37" t="e">
        <f>Tableau6[[#This Row],[Ecart 2021 2022]]/Tableau6[[#This Row],[Cumul 2021]]</f>
        <v>#N/A</v>
      </c>
      <c r="M316" s="35" t="str">
        <f>IF(ISNA(Tableau6[[#This Row],[Position 2023]]),"",INDEX(tabSuiviConso[HP + HC
cumul],Tableau6[[#This Row],[Position 2023]],1))</f>
        <v/>
      </c>
      <c r="N316" s="56" t="e">
        <f>IF(ISNA(Tableau6[[#This Row],[Position 2023]]),Tableau6[[#This Row],[Position 2023]],Tableau6[[#This Row],[2023]]-M$2)</f>
        <v>#N/A</v>
      </c>
      <c r="O316" s="35" t="e">
        <f>Tableau6[[#This Row],[Cumul 2023]]-Tableau6[[#This Row],[Cumul 2022]]</f>
        <v>#N/A</v>
      </c>
      <c r="P316" s="37" t="e">
        <f>Tableau6[[#This Row],[Ecart 2022 2023]]/Tableau6[[#This Row],[Cumul 2022]]</f>
        <v>#N/A</v>
      </c>
      <c r="Q316" s="35" t="e">
        <f>MATCH(Tableau6[Jours Mois]&amp;"/"&amp;Tableau6[[#Headers],[2024]],tabSuiviConso[Jour Mois Année],0)</f>
        <v>#N/A</v>
      </c>
      <c r="R316" s="35" t="str">
        <f>IF(ISNA(Tableau6[[#This Row],[Position 2024]]),"",INDEX(tabSuiviConso[HP + HC
cumul],Tableau6[[#This Row],[Position 2024]],1))</f>
        <v/>
      </c>
      <c r="S316" s="56" t="e">
        <f>IF(ISNA(Tableau6[[#This Row],[Position 2024]]),Tableau6[[#This Row],[Position 2024]],Tableau6[[#This Row],[2024]]-R$2)</f>
        <v>#N/A</v>
      </c>
      <c r="T316" s="35" t="e">
        <f>Tableau6[[#This Row],[Cumul 2024]]-Tableau6[[#This Row],[Cumul 2023]]</f>
        <v>#N/A</v>
      </c>
      <c r="U316" s="36" t="e">
        <f>Tableau6[[#This Row],[Ecart 2023 2024]]/Tableau6[[#This Row],[Cumul 2023]]</f>
        <v>#N/A</v>
      </c>
    </row>
    <row r="317" spans="1:21" x14ac:dyDescent="0.2">
      <c r="A317" s="35">
        <v>11</v>
      </c>
      <c r="B317" s="35">
        <v>10</v>
      </c>
      <c r="C317" s="35" t="str">
        <f>Tableau6[Jour]&amp;"/"&amp;Tableau6[Mois]</f>
        <v>10/11</v>
      </c>
      <c r="D317" s="35" t="e">
        <f>MATCH(Tableau6[Jours Mois]&amp;"/"&amp;Tableau6[[#Headers],[2021]],tabSuiviConso[Jour Mois Année],0)</f>
        <v>#N/A</v>
      </c>
      <c r="E317" s="35" t="str">
        <f>IF(ISNA(Tableau6[[#This Row],[Position 2021]]),"",INDEX(tabSuiviConso[HP + HC
cumul],Tableau6[[#This Row],[Position 2021]],1))</f>
        <v/>
      </c>
      <c r="F317" s="56" t="e">
        <f>IF(ISNA(Tableau6[[#This Row],[Position 2021]]),Tableau6[[#This Row],[Position 2021]],Tableau6[[#This Row],[2021]]-E$2)</f>
        <v>#N/A</v>
      </c>
      <c r="G317" s="35" t="e">
        <f>MATCH(Tableau6[Jours Mois]&amp;"/"&amp;Tableau6[[#Headers],[2022]],tabSuiviConso[Jour Mois Année],0)</f>
        <v>#N/A</v>
      </c>
      <c r="H317" s="35" t="str">
        <f>IF(ISNA(Tableau6[[#This Row],[Position 2022]]),"",INDEX(tabSuiviConso[HP + HC
cumul],Tableau6[[#This Row],[Position 2022]],1))</f>
        <v/>
      </c>
      <c r="I317" s="56" t="e">
        <f>IF(ISNA(Tableau6[[#This Row],[Position 2022]]),Tableau6[[#This Row],[Position 2022]],Tableau6[[#This Row],[2022]]-H$2)</f>
        <v>#N/A</v>
      </c>
      <c r="J317" s="35" t="e">
        <f>MATCH(Tableau6[Jours Mois]&amp;"/"&amp;Tableau6[[#Headers],[2023]],tabSuiviConso[Jour Mois Année],0)</f>
        <v>#N/A</v>
      </c>
      <c r="K317" s="35" t="e">
        <f>Tableau6[[#This Row],[Cumul 2022]]-Tableau6[[#This Row],[Cumul 2021]]</f>
        <v>#N/A</v>
      </c>
      <c r="L317" s="37" t="e">
        <f>Tableau6[[#This Row],[Ecart 2021 2022]]/Tableau6[[#This Row],[Cumul 2021]]</f>
        <v>#N/A</v>
      </c>
      <c r="M317" s="35" t="str">
        <f>IF(ISNA(Tableau6[[#This Row],[Position 2023]]),"",INDEX(tabSuiviConso[HP + HC
cumul],Tableau6[[#This Row],[Position 2023]],1))</f>
        <v/>
      </c>
      <c r="N317" s="56" t="e">
        <f>IF(ISNA(Tableau6[[#This Row],[Position 2023]]),Tableau6[[#This Row],[Position 2023]],Tableau6[[#This Row],[2023]]-M$2)</f>
        <v>#N/A</v>
      </c>
      <c r="O317" s="35" t="e">
        <f>Tableau6[[#This Row],[Cumul 2023]]-Tableau6[[#This Row],[Cumul 2022]]</f>
        <v>#N/A</v>
      </c>
      <c r="P317" s="37" t="e">
        <f>Tableau6[[#This Row],[Ecart 2022 2023]]/Tableau6[[#This Row],[Cumul 2022]]</f>
        <v>#N/A</v>
      </c>
      <c r="Q317" s="35" t="e">
        <f>MATCH(Tableau6[Jours Mois]&amp;"/"&amp;Tableau6[[#Headers],[2024]],tabSuiviConso[Jour Mois Année],0)</f>
        <v>#N/A</v>
      </c>
      <c r="R317" s="35" t="str">
        <f>IF(ISNA(Tableau6[[#This Row],[Position 2024]]),"",INDEX(tabSuiviConso[HP + HC
cumul],Tableau6[[#This Row],[Position 2024]],1))</f>
        <v/>
      </c>
      <c r="S317" s="56" t="e">
        <f>IF(ISNA(Tableau6[[#This Row],[Position 2024]]),Tableau6[[#This Row],[Position 2024]],Tableau6[[#This Row],[2024]]-R$2)</f>
        <v>#N/A</v>
      </c>
      <c r="T317" s="35" t="e">
        <f>Tableau6[[#This Row],[Cumul 2024]]-Tableau6[[#This Row],[Cumul 2023]]</f>
        <v>#N/A</v>
      </c>
      <c r="U317" s="36" t="e">
        <f>Tableau6[[#This Row],[Ecart 2023 2024]]/Tableau6[[#This Row],[Cumul 2023]]</f>
        <v>#N/A</v>
      </c>
    </row>
    <row r="318" spans="1:21" x14ac:dyDescent="0.2">
      <c r="A318" s="35">
        <v>11</v>
      </c>
      <c r="B318" s="35">
        <v>11</v>
      </c>
      <c r="C318" s="35" t="str">
        <f>Tableau6[Jour]&amp;"/"&amp;Tableau6[Mois]</f>
        <v>11/11</v>
      </c>
      <c r="D318" s="35" t="e">
        <f>MATCH(Tableau6[Jours Mois]&amp;"/"&amp;Tableau6[[#Headers],[2021]],tabSuiviConso[Jour Mois Année],0)</f>
        <v>#N/A</v>
      </c>
      <c r="E318" s="35" t="str">
        <f>IF(ISNA(Tableau6[[#This Row],[Position 2021]]),"",INDEX(tabSuiviConso[HP + HC
cumul],Tableau6[[#This Row],[Position 2021]],1))</f>
        <v/>
      </c>
      <c r="F318" s="56" t="e">
        <f>IF(ISNA(Tableau6[[#This Row],[Position 2021]]),Tableau6[[#This Row],[Position 2021]],Tableau6[[#This Row],[2021]]-E$2)</f>
        <v>#N/A</v>
      </c>
      <c r="G318" s="35" t="e">
        <f>MATCH(Tableau6[Jours Mois]&amp;"/"&amp;Tableau6[[#Headers],[2022]],tabSuiviConso[Jour Mois Année],0)</f>
        <v>#N/A</v>
      </c>
      <c r="H318" s="35" t="str">
        <f>IF(ISNA(Tableau6[[#This Row],[Position 2022]]),"",INDEX(tabSuiviConso[HP + HC
cumul],Tableau6[[#This Row],[Position 2022]],1))</f>
        <v/>
      </c>
      <c r="I318" s="56" t="e">
        <f>IF(ISNA(Tableau6[[#This Row],[Position 2022]]),Tableau6[[#This Row],[Position 2022]],Tableau6[[#This Row],[2022]]-H$2)</f>
        <v>#N/A</v>
      </c>
      <c r="J318" s="35" t="e">
        <f>MATCH(Tableau6[Jours Mois]&amp;"/"&amp;Tableau6[[#Headers],[2023]],tabSuiviConso[Jour Mois Année],0)</f>
        <v>#N/A</v>
      </c>
      <c r="K318" s="35" t="e">
        <f>Tableau6[[#This Row],[Cumul 2022]]-Tableau6[[#This Row],[Cumul 2021]]</f>
        <v>#N/A</v>
      </c>
      <c r="L318" s="37" t="e">
        <f>Tableau6[[#This Row],[Ecart 2021 2022]]/Tableau6[[#This Row],[Cumul 2021]]</f>
        <v>#N/A</v>
      </c>
      <c r="M318" s="35" t="str">
        <f>IF(ISNA(Tableau6[[#This Row],[Position 2023]]),"",INDEX(tabSuiviConso[HP + HC
cumul],Tableau6[[#This Row],[Position 2023]],1))</f>
        <v/>
      </c>
      <c r="N318" s="56" t="e">
        <f>IF(ISNA(Tableau6[[#This Row],[Position 2023]]),Tableau6[[#This Row],[Position 2023]],Tableau6[[#This Row],[2023]]-M$2)</f>
        <v>#N/A</v>
      </c>
      <c r="O318" s="35" t="e">
        <f>Tableau6[[#This Row],[Cumul 2023]]-Tableau6[[#This Row],[Cumul 2022]]</f>
        <v>#N/A</v>
      </c>
      <c r="P318" s="37" t="e">
        <f>Tableau6[[#This Row],[Ecart 2022 2023]]/Tableau6[[#This Row],[Cumul 2022]]</f>
        <v>#N/A</v>
      </c>
      <c r="Q318" s="35" t="e">
        <f>MATCH(Tableau6[Jours Mois]&amp;"/"&amp;Tableau6[[#Headers],[2024]],tabSuiviConso[Jour Mois Année],0)</f>
        <v>#N/A</v>
      </c>
      <c r="R318" s="35" t="str">
        <f>IF(ISNA(Tableau6[[#This Row],[Position 2024]]),"",INDEX(tabSuiviConso[HP + HC
cumul],Tableau6[[#This Row],[Position 2024]],1))</f>
        <v/>
      </c>
      <c r="S318" s="56" t="e">
        <f>IF(ISNA(Tableau6[[#This Row],[Position 2024]]),Tableau6[[#This Row],[Position 2024]],Tableau6[[#This Row],[2024]]-R$2)</f>
        <v>#N/A</v>
      </c>
      <c r="T318" s="35" t="e">
        <f>Tableau6[[#This Row],[Cumul 2024]]-Tableau6[[#This Row],[Cumul 2023]]</f>
        <v>#N/A</v>
      </c>
      <c r="U318" s="36" t="e">
        <f>Tableau6[[#This Row],[Ecart 2023 2024]]/Tableau6[[#This Row],[Cumul 2023]]</f>
        <v>#N/A</v>
      </c>
    </row>
    <row r="319" spans="1:21" x14ac:dyDescent="0.2">
      <c r="A319" s="35">
        <v>11</v>
      </c>
      <c r="B319" s="35">
        <v>12</v>
      </c>
      <c r="C319" s="35" t="str">
        <f>Tableau6[Jour]&amp;"/"&amp;Tableau6[Mois]</f>
        <v>12/11</v>
      </c>
      <c r="D319" s="35" t="e">
        <f>MATCH(Tableau6[Jours Mois]&amp;"/"&amp;Tableau6[[#Headers],[2021]],tabSuiviConso[Jour Mois Année],0)</f>
        <v>#N/A</v>
      </c>
      <c r="E319" s="35" t="str">
        <f>IF(ISNA(Tableau6[[#This Row],[Position 2021]]),"",INDEX(tabSuiviConso[HP + HC
cumul],Tableau6[[#This Row],[Position 2021]],1))</f>
        <v/>
      </c>
      <c r="F319" s="56" t="e">
        <f>IF(ISNA(Tableau6[[#This Row],[Position 2021]]),Tableau6[[#This Row],[Position 2021]],Tableau6[[#This Row],[2021]]-E$2)</f>
        <v>#N/A</v>
      </c>
      <c r="G319" s="35" t="e">
        <f>MATCH(Tableau6[Jours Mois]&amp;"/"&amp;Tableau6[[#Headers],[2022]],tabSuiviConso[Jour Mois Année],0)</f>
        <v>#N/A</v>
      </c>
      <c r="H319" s="35" t="str">
        <f>IF(ISNA(Tableau6[[#This Row],[Position 2022]]),"",INDEX(tabSuiviConso[HP + HC
cumul],Tableau6[[#This Row],[Position 2022]],1))</f>
        <v/>
      </c>
      <c r="I319" s="56" t="e">
        <f>IF(ISNA(Tableau6[[#This Row],[Position 2022]]),Tableau6[[#This Row],[Position 2022]],Tableau6[[#This Row],[2022]]-H$2)</f>
        <v>#N/A</v>
      </c>
      <c r="J319" s="35" t="e">
        <f>MATCH(Tableau6[Jours Mois]&amp;"/"&amp;Tableau6[[#Headers],[2023]],tabSuiviConso[Jour Mois Année],0)</f>
        <v>#N/A</v>
      </c>
      <c r="K319" s="35" t="e">
        <f>Tableau6[[#This Row],[Cumul 2022]]-Tableau6[[#This Row],[Cumul 2021]]</f>
        <v>#N/A</v>
      </c>
      <c r="L319" s="37" t="e">
        <f>Tableau6[[#This Row],[Ecart 2021 2022]]/Tableau6[[#This Row],[Cumul 2021]]</f>
        <v>#N/A</v>
      </c>
      <c r="M319" s="35" t="str">
        <f>IF(ISNA(Tableau6[[#This Row],[Position 2023]]),"",INDEX(tabSuiviConso[HP + HC
cumul],Tableau6[[#This Row],[Position 2023]],1))</f>
        <v/>
      </c>
      <c r="N319" s="56" t="e">
        <f>IF(ISNA(Tableau6[[#This Row],[Position 2023]]),Tableau6[[#This Row],[Position 2023]],Tableau6[[#This Row],[2023]]-M$2)</f>
        <v>#N/A</v>
      </c>
      <c r="O319" s="35" t="e">
        <f>Tableau6[[#This Row],[Cumul 2023]]-Tableau6[[#This Row],[Cumul 2022]]</f>
        <v>#N/A</v>
      </c>
      <c r="P319" s="37" t="e">
        <f>Tableau6[[#This Row],[Ecart 2022 2023]]/Tableau6[[#This Row],[Cumul 2022]]</f>
        <v>#N/A</v>
      </c>
      <c r="Q319" s="35" t="e">
        <f>MATCH(Tableau6[Jours Mois]&amp;"/"&amp;Tableau6[[#Headers],[2024]],tabSuiviConso[Jour Mois Année],0)</f>
        <v>#N/A</v>
      </c>
      <c r="R319" s="35" t="str">
        <f>IF(ISNA(Tableau6[[#This Row],[Position 2024]]),"",INDEX(tabSuiviConso[HP + HC
cumul],Tableau6[[#This Row],[Position 2024]],1))</f>
        <v/>
      </c>
      <c r="S319" s="56" t="e">
        <f>IF(ISNA(Tableau6[[#This Row],[Position 2024]]),Tableau6[[#This Row],[Position 2024]],Tableau6[[#This Row],[2024]]-R$2)</f>
        <v>#N/A</v>
      </c>
      <c r="T319" s="35" t="e">
        <f>Tableau6[[#This Row],[Cumul 2024]]-Tableau6[[#This Row],[Cumul 2023]]</f>
        <v>#N/A</v>
      </c>
      <c r="U319" s="36" t="e">
        <f>Tableau6[[#This Row],[Ecart 2023 2024]]/Tableau6[[#This Row],[Cumul 2023]]</f>
        <v>#N/A</v>
      </c>
    </row>
    <row r="320" spans="1:21" x14ac:dyDescent="0.2">
      <c r="A320" s="35">
        <v>11</v>
      </c>
      <c r="B320" s="35">
        <v>13</v>
      </c>
      <c r="C320" s="35" t="str">
        <f>Tableau6[Jour]&amp;"/"&amp;Tableau6[Mois]</f>
        <v>13/11</v>
      </c>
      <c r="D320" s="35" t="e">
        <f>MATCH(Tableau6[Jours Mois]&amp;"/"&amp;Tableau6[[#Headers],[2021]],tabSuiviConso[Jour Mois Année],0)</f>
        <v>#N/A</v>
      </c>
      <c r="E320" s="35" t="str">
        <f>IF(ISNA(Tableau6[[#This Row],[Position 2021]]),"",INDEX(tabSuiviConso[HP + HC
cumul],Tableau6[[#This Row],[Position 2021]],1))</f>
        <v/>
      </c>
      <c r="F320" s="56" t="e">
        <f>IF(ISNA(Tableau6[[#This Row],[Position 2021]]),Tableau6[[#This Row],[Position 2021]],Tableau6[[#This Row],[2021]]-E$2)</f>
        <v>#N/A</v>
      </c>
      <c r="G320" s="35" t="e">
        <f>MATCH(Tableau6[Jours Mois]&amp;"/"&amp;Tableau6[[#Headers],[2022]],tabSuiviConso[Jour Mois Année],0)</f>
        <v>#N/A</v>
      </c>
      <c r="H320" s="35" t="str">
        <f>IF(ISNA(Tableau6[[#This Row],[Position 2022]]),"",INDEX(tabSuiviConso[HP + HC
cumul],Tableau6[[#This Row],[Position 2022]],1))</f>
        <v/>
      </c>
      <c r="I320" s="56" t="e">
        <f>IF(ISNA(Tableau6[[#This Row],[Position 2022]]),Tableau6[[#This Row],[Position 2022]],Tableau6[[#This Row],[2022]]-H$2)</f>
        <v>#N/A</v>
      </c>
      <c r="J320" s="35" t="e">
        <f>MATCH(Tableau6[Jours Mois]&amp;"/"&amp;Tableau6[[#Headers],[2023]],tabSuiviConso[Jour Mois Année],0)</f>
        <v>#N/A</v>
      </c>
      <c r="K320" s="35" t="e">
        <f>Tableau6[[#This Row],[Cumul 2022]]-Tableau6[[#This Row],[Cumul 2021]]</f>
        <v>#N/A</v>
      </c>
      <c r="L320" s="37" t="e">
        <f>Tableau6[[#This Row],[Ecart 2021 2022]]/Tableau6[[#This Row],[Cumul 2021]]</f>
        <v>#N/A</v>
      </c>
      <c r="M320" s="35" t="str">
        <f>IF(ISNA(Tableau6[[#This Row],[Position 2023]]),"",INDEX(tabSuiviConso[HP + HC
cumul],Tableau6[[#This Row],[Position 2023]],1))</f>
        <v/>
      </c>
      <c r="N320" s="56" t="e">
        <f>IF(ISNA(Tableau6[[#This Row],[Position 2023]]),Tableau6[[#This Row],[Position 2023]],Tableau6[[#This Row],[2023]]-M$2)</f>
        <v>#N/A</v>
      </c>
      <c r="O320" s="35" t="e">
        <f>Tableau6[[#This Row],[Cumul 2023]]-Tableau6[[#This Row],[Cumul 2022]]</f>
        <v>#N/A</v>
      </c>
      <c r="P320" s="37" t="e">
        <f>Tableau6[[#This Row],[Ecart 2022 2023]]/Tableau6[[#This Row],[Cumul 2022]]</f>
        <v>#N/A</v>
      </c>
      <c r="Q320" s="35" t="e">
        <f>MATCH(Tableau6[Jours Mois]&amp;"/"&amp;Tableau6[[#Headers],[2024]],tabSuiviConso[Jour Mois Année],0)</f>
        <v>#N/A</v>
      </c>
      <c r="R320" s="35" t="str">
        <f>IF(ISNA(Tableau6[[#This Row],[Position 2024]]),"",INDEX(tabSuiviConso[HP + HC
cumul],Tableau6[[#This Row],[Position 2024]],1))</f>
        <v/>
      </c>
      <c r="S320" s="56" t="e">
        <f>IF(ISNA(Tableau6[[#This Row],[Position 2024]]),Tableau6[[#This Row],[Position 2024]],Tableau6[[#This Row],[2024]]-R$2)</f>
        <v>#N/A</v>
      </c>
      <c r="T320" s="35" t="e">
        <f>Tableau6[[#This Row],[Cumul 2024]]-Tableau6[[#This Row],[Cumul 2023]]</f>
        <v>#N/A</v>
      </c>
      <c r="U320" s="36" t="e">
        <f>Tableau6[[#This Row],[Ecart 2023 2024]]/Tableau6[[#This Row],[Cumul 2023]]</f>
        <v>#N/A</v>
      </c>
    </row>
    <row r="321" spans="1:21" x14ac:dyDescent="0.2">
      <c r="A321" s="35">
        <v>11</v>
      </c>
      <c r="B321" s="35">
        <v>14</v>
      </c>
      <c r="C321" s="35" t="str">
        <f>Tableau6[Jour]&amp;"/"&amp;Tableau6[Mois]</f>
        <v>14/11</v>
      </c>
      <c r="D321" s="35" t="e">
        <f>MATCH(Tableau6[Jours Mois]&amp;"/"&amp;Tableau6[[#Headers],[2021]],tabSuiviConso[Jour Mois Année],0)</f>
        <v>#N/A</v>
      </c>
      <c r="E321" s="35" t="str">
        <f>IF(ISNA(Tableau6[[#This Row],[Position 2021]]),"",INDEX(tabSuiviConso[HP + HC
cumul],Tableau6[[#This Row],[Position 2021]],1))</f>
        <v/>
      </c>
      <c r="F321" s="56" t="e">
        <f>IF(ISNA(Tableau6[[#This Row],[Position 2021]]),Tableau6[[#This Row],[Position 2021]],Tableau6[[#This Row],[2021]]-E$2)</f>
        <v>#N/A</v>
      </c>
      <c r="G321" s="35" t="e">
        <f>MATCH(Tableau6[Jours Mois]&amp;"/"&amp;Tableau6[[#Headers],[2022]],tabSuiviConso[Jour Mois Année],0)</f>
        <v>#N/A</v>
      </c>
      <c r="H321" s="35" t="str">
        <f>IF(ISNA(Tableau6[[#This Row],[Position 2022]]),"",INDEX(tabSuiviConso[HP + HC
cumul],Tableau6[[#This Row],[Position 2022]],1))</f>
        <v/>
      </c>
      <c r="I321" s="56" t="e">
        <f>IF(ISNA(Tableau6[[#This Row],[Position 2022]]),Tableau6[[#This Row],[Position 2022]],Tableau6[[#This Row],[2022]]-H$2)</f>
        <v>#N/A</v>
      </c>
      <c r="J321" s="35" t="e">
        <f>MATCH(Tableau6[Jours Mois]&amp;"/"&amp;Tableau6[[#Headers],[2023]],tabSuiviConso[Jour Mois Année],0)</f>
        <v>#N/A</v>
      </c>
      <c r="K321" s="35" t="e">
        <f>Tableau6[[#This Row],[Cumul 2022]]-Tableau6[[#This Row],[Cumul 2021]]</f>
        <v>#N/A</v>
      </c>
      <c r="L321" s="37" t="e">
        <f>Tableau6[[#This Row],[Ecart 2021 2022]]/Tableau6[[#This Row],[Cumul 2021]]</f>
        <v>#N/A</v>
      </c>
      <c r="M321" s="35" t="str">
        <f>IF(ISNA(Tableau6[[#This Row],[Position 2023]]),"",INDEX(tabSuiviConso[HP + HC
cumul],Tableau6[[#This Row],[Position 2023]],1))</f>
        <v/>
      </c>
      <c r="N321" s="56" t="e">
        <f>IF(ISNA(Tableau6[[#This Row],[Position 2023]]),Tableau6[[#This Row],[Position 2023]],Tableau6[[#This Row],[2023]]-M$2)</f>
        <v>#N/A</v>
      </c>
      <c r="O321" s="35" t="e">
        <f>Tableau6[[#This Row],[Cumul 2023]]-Tableau6[[#This Row],[Cumul 2022]]</f>
        <v>#N/A</v>
      </c>
      <c r="P321" s="37" t="e">
        <f>Tableau6[[#This Row],[Ecart 2022 2023]]/Tableau6[[#This Row],[Cumul 2022]]</f>
        <v>#N/A</v>
      </c>
      <c r="Q321" s="35" t="e">
        <f>MATCH(Tableau6[Jours Mois]&amp;"/"&amp;Tableau6[[#Headers],[2024]],tabSuiviConso[Jour Mois Année],0)</f>
        <v>#N/A</v>
      </c>
      <c r="R321" s="35" t="str">
        <f>IF(ISNA(Tableau6[[#This Row],[Position 2024]]),"",INDEX(tabSuiviConso[HP + HC
cumul],Tableau6[[#This Row],[Position 2024]],1))</f>
        <v/>
      </c>
      <c r="S321" s="56" t="e">
        <f>IF(ISNA(Tableau6[[#This Row],[Position 2024]]),Tableau6[[#This Row],[Position 2024]],Tableau6[[#This Row],[2024]]-R$2)</f>
        <v>#N/A</v>
      </c>
      <c r="T321" s="35" t="e">
        <f>Tableau6[[#This Row],[Cumul 2024]]-Tableau6[[#This Row],[Cumul 2023]]</f>
        <v>#N/A</v>
      </c>
      <c r="U321" s="36" t="e">
        <f>Tableau6[[#This Row],[Ecart 2023 2024]]/Tableau6[[#This Row],[Cumul 2023]]</f>
        <v>#N/A</v>
      </c>
    </row>
    <row r="322" spans="1:21" x14ac:dyDescent="0.2">
      <c r="A322" s="35">
        <v>11</v>
      </c>
      <c r="B322" s="35">
        <v>15</v>
      </c>
      <c r="C322" s="35" t="str">
        <f>Tableau6[Jour]&amp;"/"&amp;Tableau6[Mois]</f>
        <v>15/11</v>
      </c>
      <c r="D322" s="35" t="e">
        <f>MATCH(Tableau6[Jours Mois]&amp;"/"&amp;Tableau6[[#Headers],[2021]],tabSuiviConso[Jour Mois Année],0)</f>
        <v>#N/A</v>
      </c>
      <c r="E322" s="35" t="str">
        <f>IF(ISNA(Tableau6[[#This Row],[Position 2021]]),"",INDEX(tabSuiviConso[HP + HC
cumul],Tableau6[[#This Row],[Position 2021]],1))</f>
        <v/>
      </c>
      <c r="F322" s="56" t="e">
        <f>IF(ISNA(Tableau6[[#This Row],[Position 2021]]),Tableau6[[#This Row],[Position 2021]],Tableau6[[#This Row],[2021]]-E$2)</f>
        <v>#N/A</v>
      </c>
      <c r="G322" s="35" t="e">
        <f>MATCH(Tableau6[Jours Mois]&amp;"/"&amp;Tableau6[[#Headers],[2022]],tabSuiviConso[Jour Mois Année],0)</f>
        <v>#N/A</v>
      </c>
      <c r="H322" s="35" t="str">
        <f>IF(ISNA(Tableau6[[#This Row],[Position 2022]]),"",INDEX(tabSuiviConso[HP + HC
cumul],Tableau6[[#This Row],[Position 2022]],1))</f>
        <v/>
      </c>
      <c r="I322" s="56" t="e">
        <f>IF(ISNA(Tableau6[[#This Row],[Position 2022]]),Tableau6[[#This Row],[Position 2022]],Tableau6[[#This Row],[2022]]-H$2)</f>
        <v>#N/A</v>
      </c>
      <c r="J322" s="35" t="e">
        <f>MATCH(Tableau6[Jours Mois]&amp;"/"&amp;Tableau6[[#Headers],[2023]],tabSuiviConso[Jour Mois Année],0)</f>
        <v>#N/A</v>
      </c>
      <c r="K322" s="35" t="e">
        <f>Tableau6[[#This Row],[Cumul 2022]]-Tableau6[[#This Row],[Cumul 2021]]</f>
        <v>#N/A</v>
      </c>
      <c r="L322" s="37" t="e">
        <f>Tableau6[[#This Row],[Ecart 2021 2022]]/Tableau6[[#This Row],[Cumul 2021]]</f>
        <v>#N/A</v>
      </c>
      <c r="M322" s="35" t="str">
        <f>IF(ISNA(Tableau6[[#This Row],[Position 2023]]),"",INDEX(tabSuiviConso[HP + HC
cumul],Tableau6[[#This Row],[Position 2023]],1))</f>
        <v/>
      </c>
      <c r="N322" s="56" t="e">
        <f>IF(ISNA(Tableau6[[#This Row],[Position 2023]]),Tableau6[[#This Row],[Position 2023]],Tableau6[[#This Row],[2023]]-M$2)</f>
        <v>#N/A</v>
      </c>
      <c r="O322" s="35" t="e">
        <f>Tableau6[[#This Row],[Cumul 2023]]-Tableau6[[#This Row],[Cumul 2022]]</f>
        <v>#N/A</v>
      </c>
      <c r="P322" s="37" t="e">
        <f>Tableau6[[#This Row],[Ecart 2022 2023]]/Tableau6[[#This Row],[Cumul 2022]]</f>
        <v>#N/A</v>
      </c>
      <c r="Q322" s="35" t="e">
        <f>MATCH(Tableau6[Jours Mois]&amp;"/"&amp;Tableau6[[#Headers],[2024]],tabSuiviConso[Jour Mois Année],0)</f>
        <v>#N/A</v>
      </c>
      <c r="R322" s="35" t="str">
        <f>IF(ISNA(Tableau6[[#This Row],[Position 2024]]),"",INDEX(tabSuiviConso[HP + HC
cumul],Tableau6[[#This Row],[Position 2024]],1))</f>
        <v/>
      </c>
      <c r="S322" s="56" t="e">
        <f>IF(ISNA(Tableau6[[#This Row],[Position 2024]]),Tableau6[[#This Row],[Position 2024]],Tableau6[[#This Row],[2024]]-R$2)</f>
        <v>#N/A</v>
      </c>
      <c r="T322" s="35" t="e">
        <f>Tableau6[[#This Row],[Cumul 2024]]-Tableau6[[#This Row],[Cumul 2023]]</f>
        <v>#N/A</v>
      </c>
      <c r="U322" s="36" t="e">
        <f>Tableau6[[#This Row],[Ecart 2023 2024]]/Tableau6[[#This Row],[Cumul 2023]]</f>
        <v>#N/A</v>
      </c>
    </row>
    <row r="323" spans="1:21" x14ac:dyDescent="0.2">
      <c r="A323" s="35">
        <v>11</v>
      </c>
      <c r="B323" s="35">
        <v>16</v>
      </c>
      <c r="C323" s="35" t="str">
        <f>Tableau6[Jour]&amp;"/"&amp;Tableau6[Mois]</f>
        <v>16/11</v>
      </c>
      <c r="D323" s="35" t="e">
        <f>MATCH(Tableau6[Jours Mois]&amp;"/"&amp;Tableau6[[#Headers],[2021]],tabSuiviConso[Jour Mois Année],0)</f>
        <v>#N/A</v>
      </c>
      <c r="E323" s="35" t="str">
        <f>IF(ISNA(Tableau6[[#This Row],[Position 2021]]),"",INDEX(tabSuiviConso[HP + HC
cumul],Tableau6[[#This Row],[Position 2021]],1))</f>
        <v/>
      </c>
      <c r="F323" s="56" t="e">
        <f>IF(ISNA(Tableau6[[#This Row],[Position 2021]]),Tableau6[[#This Row],[Position 2021]],Tableau6[[#This Row],[2021]]-E$2)</f>
        <v>#N/A</v>
      </c>
      <c r="G323" s="35" t="e">
        <f>MATCH(Tableau6[Jours Mois]&amp;"/"&amp;Tableau6[[#Headers],[2022]],tabSuiviConso[Jour Mois Année],0)</f>
        <v>#N/A</v>
      </c>
      <c r="H323" s="35" t="str">
        <f>IF(ISNA(Tableau6[[#This Row],[Position 2022]]),"",INDEX(tabSuiviConso[HP + HC
cumul],Tableau6[[#This Row],[Position 2022]],1))</f>
        <v/>
      </c>
      <c r="I323" s="56" t="e">
        <f>IF(ISNA(Tableau6[[#This Row],[Position 2022]]),Tableau6[[#This Row],[Position 2022]],Tableau6[[#This Row],[2022]]-H$2)</f>
        <v>#N/A</v>
      </c>
      <c r="J323" s="35" t="e">
        <f>MATCH(Tableau6[Jours Mois]&amp;"/"&amp;Tableau6[[#Headers],[2023]],tabSuiviConso[Jour Mois Année],0)</f>
        <v>#N/A</v>
      </c>
      <c r="K323" s="35" t="e">
        <f>Tableau6[[#This Row],[Cumul 2022]]-Tableau6[[#This Row],[Cumul 2021]]</f>
        <v>#N/A</v>
      </c>
      <c r="L323" s="37" t="e">
        <f>Tableau6[[#This Row],[Ecart 2021 2022]]/Tableau6[[#This Row],[Cumul 2021]]</f>
        <v>#N/A</v>
      </c>
      <c r="M323" s="35" t="str">
        <f>IF(ISNA(Tableau6[[#This Row],[Position 2023]]),"",INDEX(tabSuiviConso[HP + HC
cumul],Tableau6[[#This Row],[Position 2023]],1))</f>
        <v/>
      </c>
      <c r="N323" s="56" t="e">
        <f>IF(ISNA(Tableau6[[#This Row],[Position 2023]]),Tableau6[[#This Row],[Position 2023]],Tableau6[[#This Row],[2023]]-M$2)</f>
        <v>#N/A</v>
      </c>
      <c r="O323" s="35" t="e">
        <f>Tableau6[[#This Row],[Cumul 2023]]-Tableau6[[#This Row],[Cumul 2022]]</f>
        <v>#N/A</v>
      </c>
      <c r="P323" s="37" t="e">
        <f>Tableau6[[#This Row],[Ecart 2022 2023]]/Tableau6[[#This Row],[Cumul 2022]]</f>
        <v>#N/A</v>
      </c>
      <c r="Q323" s="35" t="e">
        <f>MATCH(Tableau6[Jours Mois]&amp;"/"&amp;Tableau6[[#Headers],[2024]],tabSuiviConso[Jour Mois Année],0)</f>
        <v>#N/A</v>
      </c>
      <c r="R323" s="35" t="str">
        <f>IF(ISNA(Tableau6[[#This Row],[Position 2024]]),"",INDEX(tabSuiviConso[HP + HC
cumul],Tableau6[[#This Row],[Position 2024]],1))</f>
        <v/>
      </c>
      <c r="S323" s="56" t="e">
        <f>IF(ISNA(Tableau6[[#This Row],[Position 2024]]),Tableau6[[#This Row],[Position 2024]],Tableau6[[#This Row],[2024]]-R$2)</f>
        <v>#N/A</v>
      </c>
      <c r="T323" s="35" t="e">
        <f>Tableau6[[#This Row],[Cumul 2024]]-Tableau6[[#This Row],[Cumul 2023]]</f>
        <v>#N/A</v>
      </c>
      <c r="U323" s="36" t="e">
        <f>Tableau6[[#This Row],[Ecart 2023 2024]]/Tableau6[[#This Row],[Cumul 2023]]</f>
        <v>#N/A</v>
      </c>
    </row>
    <row r="324" spans="1:21" x14ac:dyDescent="0.2">
      <c r="A324" s="35">
        <v>11</v>
      </c>
      <c r="B324" s="35">
        <v>17</v>
      </c>
      <c r="C324" s="35" t="str">
        <f>Tableau6[Jour]&amp;"/"&amp;Tableau6[Mois]</f>
        <v>17/11</v>
      </c>
      <c r="D324" s="35" t="e">
        <f>MATCH(Tableau6[Jours Mois]&amp;"/"&amp;Tableau6[[#Headers],[2021]],tabSuiviConso[Jour Mois Année],0)</f>
        <v>#N/A</v>
      </c>
      <c r="E324" s="35" t="str">
        <f>IF(ISNA(Tableau6[[#This Row],[Position 2021]]),"",INDEX(tabSuiviConso[HP + HC
cumul],Tableau6[[#This Row],[Position 2021]],1))</f>
        <v/>
      </c>
      <c r="F324" s="56" t="e">
        <f>IF(ISNA(Tableau6[[#This Row],[Position 2021]]),Tableau6[[#This Row],[Position 2021]],Tableau6[[#This Row],[2021]]-E$2)</f>
        <v>#N/A</v>
      </c>
      <c r="G324" s="35" t="e">
        <f>MATCH(Tableau6[Jours Mois]&amp;"/"&amp;Tableau6[[#Headers],[2022]],tabSuiviConso[Jour Mois Année],0)</f>
        <v>#N/A</v>
      </c>
      <c r="H324" s="35" t="str">
        <f>IF(ISNA(Tableau6[[#This Row],[Position 2022]]),"",INDEX(tabSuiviConso[HP + HC
cumul],Tableau6[[#This Row],[Position 2022]],1))</f>
        <v/>
      </c>
      <c r="I324" s="56" t="e">
        <f>IF(ISNA(Tableau6[[#This Row],[Position 2022]]),Tableau6[[#This Row],[Position 2022]],Tableau6[[#This Row],[2022]]-H$2)</f>
        <v>#N/A</v>
      </c>
      <c r="J324" s="35" t="e">
        <f>MATCH(Tableau6[Jours Mois]&amp;"/"&amp;Tableau6[[#Headers],[2023]],tabSuiviConso[Jour Mois Année],0)</f>
        <v>#N/A</v>
      </c>
      <c r="K324" s="35" t="e">
        <f>Tableau6[[#This Row],[Cumul 2022]]-Tableau6[[#This Row],[Cumul 2021]]</f>
        <v>#N/A</v>
      </c>
      <c r="L324" s="37" t="e">
        <f>Tableau6[[#This Row],[Ecart 2021 2022]]/Tableau6[[#This Row],[Cumul 2021]]</f>
        <v>#N/A</v>
      </c>
      <c r="M324" s="35" t="str">
        <f>IF(ISNA(Tableau6[[#This Row],[Position 2023]]),"",INDEX(tabSuiviConso[HP + HC
cumul],Tableau6[[#This Row],[Position 2023]],1))</f>
        <v/>
      </c>
      <c r="N324" s="56" t="e">
        <f>IF(ISNA(Tableau6[[#This Row],[Position 2023]]),Tableau6[[#This Row],[Position 2023]],Tableau6[[#This Row],[2023]]-M$2)</f>
        <v>#N/A</v>
      </c>
      <c r="O324" s="35" t="e">
        <f>Tableau6[[#This Row],[Cumul 2023]]-Tableau6[[#This Row],[Cumul 2022]]</f>
        <v>#N/A</v>
      </c>
      <c r="P324" s="37" t="e">
        <f>Tableau6[[#This Row],[Ecart 2022 2023]]/Tableau6[[#This Row],[Cumul 2022]]</f>
        <v>#N/A</v>
      </c>
      <c r="Q324" s="35" t="e">
        <f>MATCH(Tableau6[Jours Mois]&amp;"/"&amp;Tableau6[[#Headers],[2024]],tabSuiviConso[Jour Mois Année],0)</f>
        <v>#N/A</v>
      </c>
      <c r="R324" s="35" t="str">
        <f>IF(ISNA(Tableau6[[#This Row],[Position 2024]]),"",INDEX(tabSuiviConso[HP + HC
cumul],Tableau6[[#This Row],[Position 2024]],1))</f>
        <v/>
      </c>
      <c r="S324" s="56" t="e">
        <f>IF(ISNA(Tableau6[[#This Row],[Position 2024]]),Tableau6[[#This Row],[Position 2024]],Tableau6[[#This Row],[2024]]-R$2)</f>
        <v>#N/A</v>
      </c>
      <c r="T324" s="35" t="e">
        <f>Tableau6[[#This Row],[Cumul 2024]]-Tableau6[[#This Row],[Cumul 2023]]</f>
        <v>#N/A</v>
      </c>
      <c r="U324" s="36" t="e">
        <f>Tableau6[[#This Row],[Ecart 2023 2024]]/Tableau6[[#This Row],[Cumul 2023]]</f>
        <v>#N/A</v>
      </c>
    </row>
    <row r="325" spans="1:21" x14ac:dyDescent="0.2">
      <c r="A325" s="35">
        <v>11</v>
      </c>
      <c r="B325" s="35">
        <v>18</v>
      </c>
      <c r="C325" s="35" t="str">
        <f>Tableau6[Jour]&amp;"/"&amp;Tableau6[Mois]</f>
        <v>18/11</v>
      </c>
      <c r="D325" s="35" t="e">
        <f>MATCH(Tableau6[Jours Mois]&amp;"/"&amp;Tableau6[[#Headers],[2021]],tabSuiviConso[Jour Mois Année],0)</f>
        <v>#N/A</v>
      </c>
      <c r="E325" s="35" t="str">
        <f>IF(ISNA(Tableau6[[#This Row],[Position 2021]]),"",INDEX(tabSuiviConso[HP + HC
cumul],Tableau6[[#This Row],[Position 2021]],1))</f>
        <v/>
      </c>
      <c r="F325" s="56" t="e">
        <f>IF(ISNA(Tableau6[[#This Row],[Position 2021]]),Tableau6[[#This Row],[Position 2021]],Tableau6[[#This Row],[2021]]-E$2)</f>
        <v>#N/A</v>
      </c>
      <c r="G325" s="35" t="e">
        <f>MATCH(Tableau6[Jours Mois]&amp;"/"&amp;Tableau6[[#Headers],[2022]],tabSuiviConso[Jour Mois Année],0)</f>
        <v>#N/A</v>
      </c>
      <c r="H325" s="35" t="str">
        <f>IF(ISNA(Tableau6[[#This Row],[Position 2022]]),"",INDEX(tabSuiviConso[HP + HC
cumul],Tableau6[[#This Row],[Position 2022]],1))</f>
        <v/>
      </c>
      <c r="I325" s="56" t="e">
        <f>IF(ISNA(Tableau6[[#This Row],[Position 2022]]),Tableau6[[#This Row],[Position 2022]],Tableau6[[#This Row],[2022]]-H$2)</f>
        <v>#N/A</v>
      </c>
      <c r="J325" s="35" t="e">
        <f>MATCH(Tableau6[Jours Mois]&amp;"/"&amp;Tableau6[[#Headers],[2023]],tabSuiviConso[Jour Mois Année],0)</f>
        <v>#N/A</v>
      </c>
      <c r="K325" s="35" t="e">
        <f>Tableau6[[#This Row],[Cumul 2022]]-Tableau6[[#This Row],[Cumul 2021]]</f>
        <v>#N/A</v>
      </c>
      <c r="L325" s="37" t="e">
        <f>Tableau6[[#This Row],[Ecart 2021 2022]]/Tableau6[[#This Row],[Cumul 2021]]</f>
        <v>#N/A</v>
      </c>
      <c r="M325" s="35" t="str">
        <f>IF(ISNA(Tableau6[[#This Row],[Position 2023]]),"",INDEX(tabSuiviConso[HP + HC
cumul],Tableau6[[#This Row],[Position 2023]],1))</f>
        <v/>
      </c>
      <c r="N325" s="56" t="e">
        <f>IF(ISNA(Tableau6[[#This Row],[Position 2023]]),Tableau6[[#This Row],[Position 2023]],Tableau6[[#This Row],[2023]]-M$2)</f>
        <v>#N/A</v>
      </c>
      <c r="O325" s="35" t="e">
        <f>Tableau6[[#This Row],[Cumul 2023]]-Tableau6[[#This Row],[Cumul 2022]]</f>
        <v>#N/A</v>
      </c>
      <c r="P325" s="37" t="e">
        <f>Tableau6[[#This Row],[Ecart 2022 2023]]/Tableau6[[#This Row],[Cumul 2022]]</f>
        <v>#N/A</v>
      </c>
      <c r="Q325" s="35" t="e">
        <f>MATCH(Tableau6[Jours Mois]&amp;"/"&amp;Tableau6[[#Headers],[2024]],tabSuiviConso[Jour Mois Année],0)</f>
        <v>#N/A</v>
      </c>
      <c r="R325" s="35" t="str">
        <f>IF(ISNA(Tableau6[[#This Row],[Position 2024]]),"",INDEX(tabSuiviConso[HP + HC
cumul],Tableau6[[#This Row],[Position 2024]],1))</f>
        <v/>
      </c>
      <c r="S325" s="56" t="e">
        <f>IF(ISNA(Tableau6[[#This Row],[Position 2024]]),Tableau6[[#This Row],[Position 2024]],Tableau6[[#This Row],[2024]]-R$2)</f>
        <v>#N/A</v>
      </c>
      <c r="T325" s="35" t="e">
        <f>Tableau6[[#This Row],[Cumul 2024]]-Tableau6[[#This Row],[Cumul 2023]]</f>
        <v>#N/A</v>
      </c>
      <c r="U325" s="36" t="e">
        <f>Tableau6[[#This Row],[Ecart 2023 2024]]/Tableau6[[#This Row],[Cumul 2023]]</f>
        <v>#N/A</v>
      </c>
    </row>
    <row r="326" spans="1:21" x14ac:dyDescent="0.2">
      <c r="A326" s="35">
        <v>11</v>
      </c>
      <c r="B326" s="35">
        <v>19</v>
      </c>
      <c r="C326" s="35" t="str">
        <f>Tableau6[Jour]&amp;"/"&amp;Tableau6[Mois]</f>
        <v>19/11</v>
      </c>
      <c r="D326" s="35" t="e">
        <f>MATCH(Tableau6[Jours Mois]&amp;"/"&amp;Tableau6[[#Headers],[2021]],tabSuiviConso[Jour Mois Année],0)</f>
        <v>#N/A</v>
      </c>
      <c r="E326" s="35" t="str">
        <f>IF(ISNA(Tableau6[[#This Row],[Position 2021]]),"",INDEX(tabSuiviConso[HP + HC
cumul],Tableau6[[#This Row],[Position 2021]],1))</f>
        <v/>
      </c>
      <c r="F326" s="56" t="e">
        <f>IF(ISNA(Tableau6[[#This Row],[Position 2021]]),Tableau6[[#This Row],[Position 2021]],Tableau6[[#This Row],[2021]]-E$2)</f>
        <v>#N/A</v>
      </c>
      <c r="G326" s="35" t="e">
        <f>MATCH(Tableau6[Jours Mois]&amp;"/"&amp;Tableau6[[#Headers],[2022]],tabSuiviConso[Jour Mois Année],0)</f>
        <v>#N/A</v>
      </c>
      <c r="H326" s="35" t="str">
        <f>IF(ISNA(Tableau6[[#This Row],[Position 2022]]),"",INDEX(tabSuiviConso[HP + HC
cumul],Tableau6[[#This Row],[Position 2022]],1))</f>
        <v/>
      </c>
      <c r="I326" s="56" t="e">
        <f>IF(ISNA(Tableau6[[#This Row],[Position 2022]]),Tableau6[[#This Row],[Position 2022]],Tableau6[[#This Row],[2022]]-H$2)</f>
        <v>#N/A</v>
      </c>
      <c r="J326" s="35" t="e">
        <f>MATCH(Tableau6[Jours Mois]&amp;"/"&amp;Tableau6[[#Headers],[2023]],tabSuiviConso[Jour Mois Année],0)</f>
        <v>#N/A</v>
      </c>
      <c r="K326" s="35" t="e">
        <f>Tableau6[[#This Row],[Cumul 2022]]-Tableau6[[#This Row],[Cumul 2021]]</f>
        <v>#N/A</v>
      </c>
      <c r="L326" s="37" t="e">
        <f>Tableau6[[#This Row],[Ecart 2021 2022]]/Tableau6[[#This Row],[Cumul 2021]]</f>
        <v>#N/A</v>
      </c>
      <c r="M326" s="35" t="str">
        <f>IF(ISNA(Tableau6[[#This Row],[Position 2023]]),"",INDEX(tabSuiviConso[HP + HC
cumul],Tableau6[[#This Row],[Position 2023]],1))</f>
        <v/>
      </c>
      <c r="N326" s="56" t="e">
        <f>IF(ISNA(Tableau6[[#This Row],[Position 2023]]),Tableau6[[#This Row],[Position 2023]],Tableau6[[#This Row],[2023]]-M$2)</f>
        <v>#N/A</v>
      </c>
      <c r="O326" s="35" t="e">
        <f>Tableau6[[#This Row],[Cumul 2023]]-Tableau6[[#This Row],[Cumul 2022]]</f>
        <v>#N/A</v>
      </c>
      <c r="P326" s="37" t="e">
        <f>Tableau6[[#This Row],[Ecart 2022 2023]]/Tableau6[[#This Row],[Cumul 2022]]</f>
        <v>#N/A</v>
      </c>
      <c r="Q326" s="35" t="e">
        <f>MATCH(Tableau6[Jours Mois]&amp;"/"&amp;Tableau6[[#Headers],[2024]],tabSuiviConso[Jour Mois Année],0)</f>
        <v>#N/A</v>
      </c>
      <c r="R326" s="35" t="str">
        <f>IF(ISNA(Tableau6[[#This Row],[Position 2024]]),"",INDEX(tabSuiviConso[HP + HC
cumul],Tableau6[[#This Row],[Position 2024]],1))</f>
        <v/>
      </c>
      <c r="S326" s="56" t="e">
        <f>IF(ISNA(Tableau6[[#This Row],[Position 2024]]),Tableau6[[#This Row],[Position 2024]],Tableau6[[#This Row],[2024]]-R$2)</f>
        <v>#N/A</v>
      </c>
      <c r="T326" s="35" t="e">
        <f>Tableau6[[#This Row],[Cumul 2024]]-Tableau6[[#This Row],[Cumul 2023]]</f>
        <v>#N/A</v>
      </c>
      <c r="U326" s="36" t="e">
        <f>Tableau6[[#This Row],[Ecart 2023 2024]]/Tableau6[[#This Row],[Cumul 2023]]</f>
        <v>#N/A</v>
      </c>
    </row>
    <row r="327" spans="1:21" x14ac:dyDescent="0.2">
      <c r="A327" s="35">
        <v>11</v>
      </c>
      <c r="B327" s="35">
        <v>20</v>
      </c>
      <c r="C327" s="35" t="str">
        <f>Tableau6[Jour]&amp;"/"&amp;Tableau6[Mois]</f>
        <v>20/11</v>
      </c>
      <c r="D327" s="35" t="e">
        <f>MATCH(Tableau6[Jours Mois]&amp;"/"&amp;Tableau6[[#Headers],[2021]],tabSuiviConso[Jour Mois Année],0)</f>
        <v>#N/A</v>
      </c>
      <c r="E327" s="35" t="str">
        <f>IF(ISNA(Tableau6[[#This Row],[Position 2021]]),"",INDEX(tabSuiviConso[HP + HC
cumul],Tableau6[[#This Row],[Position 2021]],1))</f>
        <v/>
      </c>
      <c r="F327" s="56" t="e">
        <f>IF(ISNA(Tableau6[[#This Row],[Position 2021]]),Tableau6[[#This Row],[Position 2021]],Tableau6[[#This Row],[2021]]-E$2)</f>
        <v>#N/A</v>
      </c>
      <c r="G327" s="35" t="e">
        <f>MATCH(Tableau6[Jours Mois]&amp;"/"&amp;Tableau6[[#Headers],[2022]],tabSuiviConso[Jour Mois Année],0)</f>
        <v>#N/A</v>
      </c>
      <c r="H327" s="35" t="str">
        <f>IF(ISNA(Tableau6[[#This Row],[Position 2022]]),"",INDEX(tabSuiviConso[HP + HC
cumul],Tableau6[[#This Row],[Position 2022]],1))</f>
        <v/>
      </c>
      <c r="I327" s="56" t="e">
        <f>IF(ISNA(Tableau6[[#This Row],[Position 2022]]),Tableau6[[#This Row],[Position 2022]],Tableau6[[#This Row],[2022]]-H$2)</f>
        <v>#N/A</v>
      </c>
      <c r="J327" s="35" t="e">
        <f>MATCH(Tableau6[Jours Mois]&amp;"/"&amp;Tableau6[[#Headers],[2023]],tabSuiviConso[Jour Mois Année],0)</f>
        <v>#N/A</v>
      </c>
      <c r="K327" s="35" t="e">
        <f>Tableau6[[#This Row],[Cumul 2022]]-Tableau6[[#This Row],[Cumul 2021]]</f>
        <v>#N/A</v>
      </c>
      <c r="L327" s="37" t="e">
        <f>Tableau6[[#This Row],[Ecart 2021 2022]]/Tableau6[[#This Row],[Cumul 2021]]</f>
        <v>#N/A</v>
      </c>
      <c r="M327" s="35" t="str">
        <f>IF(ISNA(Tableau6[[#This Row],[Position 2023]]),"",INDEX(tabSuiviConso[HP + HC
cumul],Tableau6[[#This Row],[Position 2023]],1))</f>
        <v/>
      </c>
      <c r="N327" s="56" t="e">
        <f>IF(ISNA(Tableau6[[#This Row],[Position 2023]]),Tableau6[[#This Row],[Position 2023]],Tableau6[[#This Row],[2023]]-M$2)</f>
        <v>#N/A</v>
      </c>
      <c r="O327" s="35" t="e">
        <f>Tableau6[[#This Row],[Cumul 2023]]-Tableau6[[#This Row],[Cumul 2022]]</f>
        <v>#N/A</v>
      </c>
      <c r="P327" s="37" t="e">
        <f>Tableau6[[#This Row],[Ecart 2022 2023]]/Tableau6[[#This Row],[Cumul 2022]]</f>
        <v>#N/A</v>
      </c>
      <c r="Q327" s="35" t="e">
        <f>MATCH(Tableau6[Jours Mois]&amp;"/"&amp;Tableau6[[#Headers],[2024]],tabSuiviConso[Jour Mois Année],0)</f>
        <v>#N/A</v>
      </c>
      <c r="R327" s="35" t="str">
        <f>IF(ISNA(Tableau6[[#This Row],[Position 2024]]),"",INDEX(tabSuiviConso[HP + HC
cumul],Tableau6[[#This Row],[Position 2024]],1))</f>
        <v/>
      </c>
      <c r="S327" s="56" t="e">
        <f>IF(ISNA(Tableau6[[#This Row],[Position 2024]]),Tableau6[[#This Row],[Position 2024]],Tableau6[[#This Row],[2024]]-R$2)</f>
        <v>#N/A</v>
      </c>
      <c r="T327" s="35" t="e">
        <f>Tableau6[[#This Row],[Cumul 2024]]-Tableau6[[#This Row],[Cumul 2023]]</f>
        <v>#N/A</v>
      </c>
      <c r="U327" s="36" t="e">
        <f>Tableau6[[#This Row],[Ecart 2023 2024]]/Tableau6[[#This Row],[Cumul 2023]]</f>
        <v>#N/A</v>
      </c>
    </row>
    <row r="328" spans="1:21" x14ac:dyDescent="0.2">
      <c r="A328" s="35">
        <v>11</v>
      </c>
      <c r="B328" s="35">
        <v>21</v>
      </c>
      <c r="C328" s="35" t="str">
        <f>Tableau6[Jour]&amp;"/"&amp;Tableau6[Mois]</f>
        <v>21/11</v>
      </c>
      <c r="D328" s="35" t="e">
        <f>MATCH(Tableau6[Jours Mois]&amp;"/"&amp;Tableau6[[#Headers],[2021]],tabSuiviConso[Jour Mois Année],0)</f>
        <v>#N/A</v>
      </c>
      <c r="E328" s="35" t="str">
        <f>IF(ISNA(Tableau6[[#This Row],[Position 2021]]),"",INDEX(tabSuiviConso[HP + HC
cumul],Tableau6[[#This Row],[Position 2021]],1))</f>
        <v/>
      </c>
      <c r="F328" s="56" t="e">
        <f>IF(ISNA(Tableau6[[#This Row],[Position 2021]]),Tableau6[[#This Row],[Position 2021]],Tableau6[[#This Row],[2021]]-E$2)</f>
        <v>#N/A</v>
      </c>
      <c r="G328" s="35" t="e">
        <f>MATCH(Tableau6[Jours Mois]&amp;"/"&amp;Tableau6[[#Headers],[2022]],tabSuiviConso[Jour Mois Année],0)</f>
        <v>#N/A</v>
      </c>
      <c r="H328" s="35" t="str">
        <f>IF(ISNA(Tableau6[[#This Row],[Position 2022]]),"",INDEX(tabSuiviConso[HP + HC
cumul],Tableau6[[#This Row],[Position 2022]],1))</f>
        <v/>
      </c>
      <c r="I328" s="56" t="e">
        <f>IF(ISNA(Tableau6[[#This Row],[Position 2022]]),Tableau6[[#This Row],[Position 2022]],Tableau6[[#This Row],[2022]]-H$2)</f>
        <v>#N/A</v>
      </c>
      <c r="J328" s="35" t="e">
        <f>MATCH(Tableau6[Jours Mois]&amp;"/"&amp;Tableau6[[#Headers],[2023]],tabSuiviConso[Jour Mois Année],0)</f>
        <v>#N/A</v>
      </c>
      <c r="K328" s="35" t="e">
        <f>Tableau6[[#This Row],[Cumul 2022]]-Tableau6[[#This Row],[Cumul 2021]]</f>
        <v>#N/A</v>
      </c>
      <c r="L328" s="37" t="e">
        <f>Tableau6[[#This Row],[Ecart 2021 2022]]/Tableau6[[#This Row],[Cumul 2021]]</f>
        <v>#N/A</v>
      </c>
      <c r="M328" s="35" t="str">
        <f>IF(ISNA(Tableau6[[#This Row],[Position 2023]]),"",INDEX(tabSuiviConso[HP + HC
cumul],Tableau6[[#This Row],[Position 2023]],1))</f>
        <v/>
      </c>
      <c r="N328" s="56" t="e">
        <f>IF(ISNA(Tableau6[[#This Row],[Position 2023]]),Tableau6[[#This Row],[Position 2023]],Tableau6[[#This Row],[2023]]-M$2)</f>
        <v>#N/A</v>
      </c>
      <c r="O328" s="35" t="e">
        <f>Tableau6[[#This Row],[Cumul 2023]]-Tableau6[[#This Row],[Cumul 2022]]</f>
        <v>#N/A</v>
      </c>
      <c r="P328" s="37" t="e">
        <f>Tableau6[[#This Row],[Ecart 2022 2023]]/Tableau6[[#This Row],[Cumul 2022]]</f>
        <v>#N/A</v>
      </c>
      <c r="Q328" s="35" t="e">
        <f>MATCH(Tableau6[Jours Mois]&amp;"/"&amp;Tableau6[[#Headers],[2024]],tabSuiviConso[Jour Mois Année],0)</f>
        <v>#N/A</v>
      </c>
      <c r="R328" s="35" t="str">
        <f>IF(ISNA(Tableau6[[#This Row],[Position 2024]]),"",INDEX(tabSuiviConso[HP + HC
cumul],Tableau6[[#This Row],[Position 2024]],1))</f>
        <v/>
      </c>
      <c r="S328" s="56" t="e">
        <f>IF(ISNA(Tableau6[[#This Row],[Position 2024]]),Tableau6[[#This Row],[Position 2024]],Tableau6[[#This Row],[2024]]-R$2)</f>
        <v>#N/A</v>
      </c>
      <c r="T328" s="35" t="e">
        <f>Tableau6[[#This Row],[Cumul 2024]]-Tableau6[[#This Row],[Cumul 2023]]</f>
        <v>#N/A</v>
      </c>
      <c r="U328" s="36" t="e">
        <f>Tableau6[[#This Row],[Ecart 2023 2024]]/Tableau6[[#This Row],[Cumul 2023]]</f>
        <v>#N/A</v>
      </c>
    </row>
    <row r="329" spans="1:21" x14ac:dyDescent="0.2">
      <c r="A329" s="35">
        <v>11</v>
      </c>
      <c r="B329" s="35">
        <v>22</v>
      </c>
      <c r="C329" s="35" t="str">
        <f>Tableau6[Jour]&amp;"/"&amp;Tableau6[Mois]</f>
        <v>22/11</v>
      </c>
      <c r="D329" s="35" t="e">
        <f>MATCH(Tableau6[Jours Mois]&amp;"/"&amp;Tableau6[[#Headers],[2021]],tabSuiviConso[Jour Mois Année],0)</f>
        <v>#N/A</v>
      </c>
      <c r="E329" s="35" t="str">
        <f>IF(ISNA(Tableau6[[#This Row],[Position 2021]]),"",INDEX(tabSuiviConso[HP + HC
cumul],Tableau6[[#This Row],[Position 2021]],1))</f>
        <v/>
      </c>
      <c r="F329" s="56" t="e">
        <f>IF(ISNA(Tableau6[[#This Row],[Position 2021]]),Tableau6[[#This Row],[Position 2021]],Tableau6[[#This Row],[2021]]-E$2)</f>
        <v>#N/A</v>
      </c>
      <c r="G329" s="35" t="e">
        <f>MATCH(Tableau6[Jours Mois]&amp;"/"&amp;Tableau6[[#Headers],[2022]],tabSuiviConso[Jour Mois Année],0)</f>
        <v>#N/A</v>
      </c>
      <c r="H329" s="35" t="str">
        <f>IF(ISNA(Tableau6[[#This Row],[Position 2022]]),"",INDEX(tabSuiviConso[HP + HC
cumul],Tableau6[[#This Row],[Position 2022]],1))</f>
        <v/>
      </c>
      <c r="I329" s="56" t="e">
        <f>IF(ISNA(Tableau6[[#This Row],[Position 2022]]),Tableau6[[#This Row],[Position 2022]],Tableau6[[#This Row],[2022]]-H$2)</f>
        <v>#N/A</v>
      </c>
      <c r="J329" s="35" t="e">
        <f>MATCH(Tableau6[Jours Mois]&amp;"/"&amp;Tableau6[[#Headers],[2023]],tabSuiviConso[Jour Mois Année],0)</f>
        <v>#N/A</v>
      </c>
      <c r="K329" s="35" t="e">
        <f>Tableau6[[#This Row],[Cumul 2022]]-Tableau6[[#This Row],[Cumul 2021]]</f>
        <v>#N/A</v>
      </c>
      <c r="L329" s="37" t="e">
        <f>Tableau6[[#This Row],[Ecart 2021 2022]]/Tableau6[[#This Row],[Cumul 2021]]</f>
        <v>#N/A</v>
      </c>
      <c r="M329" s="35" t="str">
        <f>IF(ISNA(Tableau6[[#This Row],[Position 2023]]),"",INDEX(tabSuiviConso[HP + HC
cumul],Tableau6[[#This Row],[Position 2023]],1))</f>
        <v/>
      </c>
      <c r="N329" s="56" t="e">
        <f>IF(ISNA(Tableau6[[#This Row],[Position 2023]]),Tableau6[[#This Row],[Position 2023]],Tableau6[[#This Row],[2023]]-M$2)</f>
        <v>#N/A</v>
      </c>
      <c r="O329" s="35" t="e">
        <f>Tableau6[[#This Row],[Cumul 2023]]-Tableau6[[#This Row],[Cumul 2022]]</f>
        <v>#N/A</v>
      </c>
      <c r="P329" s="37" t="e">
        <f>Tableau6[[#This Row],[Ecart 2022 2023]]/Tableau6[[#This Row],[Cumul 2022]]</f>
        <v>#N/A</v>
      </c>
      <c r="Q329" s="35" t="e">
        <f>MATCH(Tableau6[Jours Mois]&amp;"/"&amp;Tableau6[[#Headers],[2024]],tabSuiviConso[Jour Mois Année],0)</f>
        <v>#N/A</v>
      </c>
      <c r="R329" s="35" t="str">
        <f>IF(ISNA(Tableau6[[#This Row],[Position 2024]]),"",INDEX(tabSuiviConso[HP + HC
cumul],Tableau6[[#This Row],[Position 2024]],1))</f>
        <v/>
      </c>
      <c r="S329" s="56" t="e">
        <f>IF(ISNA(Tableau6[[#This Row],[Position 2024]]),Tableau6[[#This Row],[Position 2024]],Tableau6[[#This Row],[2024]]-R$2)</f>
        <v>#N/A</v>
      </c>
      <c r="T329" s="35" t="e">
        <f>Tableau6[[#This Row],[Cumul 2024]]-Tableau6[[#This Row],[Cumul 2023]]</f>
        <v>#N/A</v>
      </c>
      <c r="U329" s="36" t="e">
        <f>Tableau6[[#This Row],[Ecart 2023 2024]]/Tableau6[[#This Row],[Cumul 2023]]</f>
        <v>#N/A</v>
      </c>
    </row>
    <row r="330" spans="1:21" x14ac:dyDescent="0.2">
      <c r="A330" s="35">
        <v>11</v>
      </c>
      <c r="B330" s="35">
        <v>23</v>
      </c>
      <c r="C330" s="35" t="str">
        <f>Tableau6[Jour]&amp;"/"&amp;Tableau6[Mois]</f>
        <v>23/11</v>
      </c>
      <c r="D330" s="35" t="e">
        <f>MATCH(Tableau6[Jours Mois]&amp;"/"&amp;Tableau6[[#Headers],[2021]],tabSuiviConso[Jour Mois Année],0)</f>
        <v>#N/A</v>
      </c>
      <c r="E330" s="35" t="str">
        <f>IF(ISNA(Tableau6[[#This Row],[Position 2021]]),"",INDEX(tabSuiviConso[HP + HC
cumul],Tableau6[[#This Row],[Position 2021]],1))</f>
        <v/>
      </c>
      <c r="F330" s="56" t="e">
        <f>IF(ISNA(Tableau6[[#This Row],[Position 2021]]),Tableau6[[#This Row],[Position 2021]],Tableau6[[#This Row],[2021]]-E$2)</f>
        <v>#N/A</v>
      </c>
      <c r="G330" s="35" t="e">
        <f>MATCH(Tableau6[Jours Mois]&amp;"/"&amp;Tableau6[[#Headers],[2022]],tabSuiviConso[Jour Mois Année],0)</f>
        <v>#N/A</v>
      </c>
      <c r="H330" s="35" t="str">
        <f>IF(ISNA(Tableau6[[#This Row],[Position 2022]]),"",INDEX(tabSuiviConso[HP + HC
cumul],Tableau6[[#This Row],[Position 2022]],1))</f>
        <v/>
      </c>
      <c r="I330" s="56" t="e">
        <f>IF(ISNA(Tableau6[[#This Row],[Position 2022]]),Tableau6[[#This Row],[Position 2022]],Tableau6[[#This Row],[2022]]-H$2)</f>
        <v>#N/A</v>
      </c>
      <c r="J330" s="35" t="e">
        <f>MATCH(Tableau6[Jours Mois]&amp;"/"&amp;Tableau6[[#Headers],[2023]],tabSuiviConso[Jour Mois Année],0)</f>
        <v>#N/A</v>
      </c>
      <c r="K330" s="35" t="e">
        <f>Tableau6[[#This Row],[Cumul 2022]]-Tableau6[[#This Row],[Cumul 2021]]</f>
        <v>#N/A</v>
      </c>
      <c r="L330" s="37" t="e">
        <f>Tableau6[[#This Row],[Ecart 2021 2022]]/Tableau6[[#This Row],[Cumul 2021]]</f>
        <v>#N/A</v>
      </c>
      <c r="M330" s="35" t="str">
        <f>IF(ISNA(Tableau6[[#This Row],[Position 2023]]),"",INDEX(tabSuiviConso[HP + HC
cumul],Tableau6[[#This Row],[Position 2023]],1))</f>
        <v/>
      </c>
      <c r="N330" s="56" t="e">
        <f>IF(ISNA(Tableau6[[#This Row],[Position 2023]]),Tableau6[[#This Row],[Position 2023]],Tableau6[[#This Row],[2023]]-M$2)</f>
        <v>#N/A</v>
      </c>
      <c r="O330" s="35" t="e">
        <f>Tableau6[[#This Row],[Cumul 2023]]-Tableau6[[#This Row],[Cumul 2022]]</f>
        <v>#N/A</v>
      </c>
      <c r="P330" s="37" t="e">
        <f>Tableau6[[#This Row],[Ecart 2022 2023]]/Tableau6[[#This Row],[Cumul 2022]]</f>
        <v>#N/A</v>
      </c>
      <c r="Q330" s="35" t="e">
        <f>MATCH(Tableau6[Jours Mois]&amp;"/"&amp;Tableau6[[#Headers],[2024]],tabSuiviConso[Jour Mois Année],0)</f>
        <v>#N/A</v>
      </c>
      <c r="R330" s="35" t="str">
        <f>IF(ISNA(Tableau6[[#This Row],[Position 2024]]),"",INDEX(tabSuiviConso[HP + HC
cumul],Tableau6[[#This Row],[Position 2024]],1))</f>
        <v/>
      </c>
      <c r="S330" s="56" t="e">
        <f>IF(ISNA(Tableau6[[#This Row],[Position 2024]]),Tableau6[[#This Row],[Position 2024]],Tableau6[[#This Row],[2024]]-R$2)</f>
        <v>#N/A</v>
      </c>
      <c r="T330" s="35" t="e">
        <f>Tableau6[[#This Row],[Cumul 2024]]-Tableau6[[#This Row],[Cumul 2023]]</f>
        <v>#N/A</v>
      </c>
      <c r="U330" s="36" t="e">
        <f>Tableau6[[#This Row],[Ecart 2023 2024]]/Tableau6[[#This Row],[Cumul 2023]]</f>
        <v>#N/A</v>
      </c>
    </row>
    <row r="331" spans="1:21" x14ac:dyDescent="0.2">
      <c r="A331" s="35">
        <v>11</v>
      </c>
      <c r="B331" s="35">
        <v>24</v>
      </c>
      <c r="C331" s="35" t="str">
        <f>Tableau6[Jour]&amp;"/"&amp;Tableau6[Mois]</f>
        <v>24/11</v>
      </c>
      <c r="D331" s="35" t="e">
        <f>MATCH(Tableau6[Jours Mois]&amp;"/"&amp;Tableau6[[#Headers],[2021]],tabSuiviConso[Jour Mois Année],0)</f>
        <v>#N/A</v>
      </c>
      <c r="E331" s="35" t="str">
        <f>IF(ISNA(Tableau6[[#This Row],[Position 2021]]),"",INDEX(tabSuiviConso[HP + HC
cumul],Tableau6[[#This Row],[Position 2021]],1))</f>
        <v/>
      </c>
      <c r="F331" s="56" t="e">
        <f>IF(ISNA(Tableau6[[#This Row],[Position 2021]]),Tableau6[[#This Row],[Position 2021]],Tableau6[[#This Row],[2021]]-E$2)</f>
        <v>#N/A</v>
      </c>
      <c r="G331" s="35" t="e">
        <f>MATCH(Tableau6[Jours Mois]&amp;"/"&amp;Tableau6[[#Headers],[2022]],tabSuiviConso[Jour Mois Année],0)</f>
        <v>#N/A</v>
      </c>
      <c r="H331" s="35" t="str">
        <f>IF(ISNA(Tableau6[[#This Row],[Position 2022]]),"",INDEX(tabSuiviConso[HP + HC
cumul],Tableau6[[#This Row],[Position 2022]],1))</f>
        <v/>
      </c>
      <c r="I331" s="56" t="e">
        <f>IF(ISNA(Tableau6[[#This Row],[Position 2022]]),Tableau6[[#This Row],[Position 2022]],Tableau6[[#This Row],[2022]]-H$2)</f>
        <v>#N/A</v>
      </c>
      <c r="J331" s="35" t="e">
        <f>MATCH(Tableau6[Jours Mois]&amp;"/"&amp;Tableau6[[#Headers],[2023]],tabSuiviConso[Jour Mois Année],0)</f>
        <v>#N/A</v>
      </c>
      <c r="K331" s="35" t="e">
        <f>Tableau6[[#This Row],[Cumul 2022]]-Tableau6[[#This Row],[Cumul 2021]]</f>
        <v>#N/A</v>
      </c>
      <c r="L331" s="37" t="e">
        <f>Tableau6[[#This Row],[Ecart 2021 2022]]/Tableau6[[#This Row],[Cumul 2021]]</f>
        <v>#N/A</v>
      </c>
      <c r="M331" s="35" t="str">
        <f>IF(ISNA(Tableau6[[#This Row],[Position 2023]]),"",INDEX(tabSuiviConso[HP + HC
cumul],Tableau6[[#This Row],[Position 2023]],1))</f>
        <v/>
      </c>
      <c r="N331" s="56" t="e">
        <f>IF(ISNA(Tableau6[[#This Row],[Position 2023]]),Tableau6[[#This Row],[Position 2023]],Tableau6[[#This Row],[2023]]-M$2)</f>
        <v>#N/A</v>
      </c>
      <c r="O331" s="35" t="e">
        <f>Tableau6[[#This Row],[Cumul 2023]]-Tableau6[[#This Row],[Cumul 2022]]</f>
        <v>#N/A</v>
      </c>
      <c r="P331" s="37" t="e">
        <f>Tableau6[[#This Row],[Ecart 2022 2023]]/Tableau6[[#This Row],[Cumul 2022]]</f>
        <v>#N/A</v>
      </c>
      <c r="Q331" s="35" t="e">
        <f>MATCH(Tableau6[Jours Mois]&amp;"/"&amp;Tableau6[[#Headers],[2024]],tabSuiviConso[Jour Mois Année],0)</f>
        <v>#N/A</v>
      </c>
      <c r="R331" s="35" t="str">
        <f>IF(ISNA(Tableau6[[#This Row],[Position 2024]]),"",INDEX(tabSuiviConso[HP + HC
cumul],Tableau6[[#This Row],[Position 2024]],1))</f>
        <v/>
      </c>
      <c r="S331" s="56" t="e">
        <f>IF(ISNA(Tableau6[[#This Row],[Position 2024]]),Tableau6[[#This Row],[Position 2024]],Tableau6[[#This Row],[2024]]-R$2)</f>
        <v>#N/A</v>
      </c>
      <c r="T331" s="35" t="e">
        <f>Tableau6[[#This Row],[Cumul 2024]]-Tableau6[[#This Row],[Cumul 2023]]</f>
        <v>#N/A</v>
      </c>
      <c r="U331" s="36" t="e">
        <f>Tableau6[[#This Row],[Ecart 2023 2024]]/Tableau6[[#This Row],[Cumul 2023]]</f>
        <v>#N/A</v>
      </c>
    </row>
    <row r="332" spans="1:21" x14ac:dyDescent="0.2">
      <c r="A332" s="35">
        <v>11</v>
      </c>
      <c r="B332" s="35">
        <v>25</v>
      </c>
      <c r="C332" s="35" t="str">
        <f>Tableau6[Jour]&amp;"/"&amp;Tableau6[Mois]</f>
        <v>25/11</v>
      </c>
      <c r="D332" s="35" t="e">
        <f>MATCH(Tableau6[Jours Mois]&amp;"/"&amp;Tableau6[[#Headers],[2021]],tabSuiviConso[Jour Mois Année],0)</f>
        <v>#N/A</v>
      </c>
      <c r="E332" s="35" t="str">
        <f>IF(ISNA(Tableau6[[#This Row],[Position 2021]]),"",INDEX(tabSuiviConso[HP + HC
cumul],Tableau6[[#This Row],[Position 2021]],1))</f>
        <v/>
      </c>
      <c r="F332" s="56" t="e">
        <f>IF(ISNA(Tableau6[[#This Row],[Position 2021]]),Tableau6[[#This Row],[Position 2021]],Tableau6[[#This Row],[2021]]-E$2)</f>
        <v>#N/A</v>
      </c>
      <c r="G332" s="35" t="e">
        <f>MATCH(Tableau6[Jours Mois]&amp;"/"&amp;Tableau6[[#Headers],[2022]],tabSuiviConso[Jour Mois Année],0)</f>
        <v>#N/A</v>
      </c>
      <c r="H332" s="35" t="str">
        <f>IF(ISNA(Tableau6[[#This Row],[Position 2022]]),"",INDEX(tabSuiviConso[HP + HC
cumul],Tableau6[[#This Row],[Position 2022]],1))</f>
        <v/>
      </c>
      <c r="I332" s="56" t="e">
        <f>IF(ISNA(Tableau6[[#This Row],[Position 2022]]),Tableau6[[#This Row],[Position 2022]],Tableau6[[#This Row],[2022]]-H$2)</f>
        <v>#N/A</v>
      </c>
      <c r="J332" s="35" t="e">
        <f>MATCH(Tableau6[Jours Mois]&amp;"/"&amp;Tableau6[[#Headers],[2023]],tabSuiviConso[Jour Mois Année],0)</f>
        <v>#N/A</v>
      </c>
      <c r="K332" s="35" t="e">
        <f>Tableau6[[#This Row],[Cumul 2022]]-Tableau6[[#This Row],[Cumul 2021]]</f>
        <v>#N/A</v>
      </c>
      <c r="L332" s="37" t="e">
        <f>Tableau6[[#This Row],[Ecart 2021 2022]]/Tableau6[[#This Row],[Cumul 2021]]</f>
        <v>#N/A</v>
      </c>
      <c r="M332" s="35" t="str">
        <f>IF(ISNA(Tableau6[[#This Row],[Position 2023]]),"",INDEX(tabSuiviConso[HP + HC
cumul],Tableau6[[#This Row],[Position 2023]],1))</f>
        <v/>
      </c>
      <c r="N332" s="56" t="e">
        <f>IF(ISNA(Tableau6[[#This Row],[Position 2023]]),Tableau6[[#This Row],[Position 2023]],Tableau6[[#This Row],[2023]]-M$2)</f>
        <v>#N/A</v>
      </c>
      <c r="O332" s="35" t="e">
        <f>Tableau6[[#This Row],[Cumul 2023]]-Tableau6[[#This Row],[Cumul 2022]]</f>
        <v>#N/A</v>
      </c>
      <c r="P332" s="37" t="e">
        <f>Tableau6[[#This Row],[Ecart 2022 2023]]/Tableau6[[#This Row],[Cumul 2022]]</f>
        <v>#N/A</v>
      </c>
      <c r="Q332" s="35" t="e">
        <f>MATCH(Tableau6[Jours Mois]&amp;"/"&amp;Tableau6[[#Headers],[2024]],tabSuiviConso[Jour Mois Année],0)</f>
        <v>#N/A</v>
      </c>
      <c r="R332" s="35" t="str">
        <f>IF(ISNA(Tableau6[[#This Row],[Position 2024]]),"",INDEX(tabSuiviConso[HP + HC
cumul],Tableau6[[#This Row],[Position 2024]],1))</f>
        <v/>
      </c>
      <c r="S332" s="56" t="e">
        <f>IF(ISNA(Tableau6[[#This Row],[Position 2024]]),Tableau6[[#This Row],[Position 2024]],Tableau6[[#This Row],[2024]]-R$2)</f>
        <v>#N/A</v>
      </c>
      <c r="T332" s="35" t="e">
        <f>Tableau6[[#This Row],[Cumul 2024]]-Tableau6[[#This Row],[Cumul 2023]]</f>
        <v>#N/A</v>
      </c>
      <c r="U332" s="36" t="e">
        <f>Tableau6[[#This Row],[Ecart 2023 2024]]/Tableau6[[#This Row],[Cumul 2023]]</f>
        <v>#N/A</v>
      </c>
    </row>
    <row r="333" spans="1:21" x14ac:dyDescent="0.2">
      <c r="A333" s="35">
        <v>11</v>
      </c>
      <c r="B333" s="35">
        <v>26</v>
      </c>
      <c r="C333" s="35" t="str">
        <f>Tableau6[Jour]&amp;"/"&amp;Tableau6[Mois]</f>
        <v>26/11</v>
      </c>
      <c r="D333" s="35" t="e">
        <f>MATCH(Tableau6[Jours Mois]&amp;"/"&amp;Tableau6[[#Headers],[2021]],tabSuiviConso[Jour Mois Année],0)</f>
        <v>#N/A</v>
      </c>
      <c r="E333" s="35" t="str">
        <f>IF(ISNA(Tableau6[[#This Row],[Position 2021]]),"",INDEX(tabSuiviConso[HP + HC
cumul],Tableau6[[#This Row],[Position 2021]],1))</f>
        <v/>
      </c>
      <c r="F333" s="56" t="e">
        <f>IF(ISNA(Tableau6[[#This Row],[Position 2021]]),Tableau6[[#This Row],[Position 2021]],Tableau6[[#This Row],[2021]]-E$2)</f>
        <v>#N/A</v>
      </c>
      <c r="G333" s="35" t="e">
        <f>MATCH(Tableau6[Jours Mois]&amp;"/"&amp;Tableau6[[#Headers],[2022]],tabSuiviConso[Jour Mois Année],0)</f>
        <v>#N/A</v>
      </c>
      <c r="H333" s="35" t="str">
        <f>IF(ISNA(Tableau6[[#This Row],[Position 2022]]),"",INDEX(tabSuiviConso[HP + HC
cumul],Tableau6[[#This Row],[Position 2022]],1))</f>
        <v/>
      </c>
      <c r="I333" s="56" t="e">
        <f>IF(ISNA(Tableau6[[#This Row],[Position 2022]]),Tableau6[[#This Row],[Position 2022]],Tableau6[[#This Row],[2022]]-H$2)</f>
        <v>#N/A</v>
      </c>
      <c r="J333" s="35" t="e">
        <f>MATCH(Tableau6[Jours Mois]&amp;"/"&amp;Tableau6[[#Headers],[2023]],tabSuiviConso[Jour Mois Année],0)</f>
        <v>#N/A</v>
      </c>
      <c r="K333" s="35" t="e">
        <f>Tableau6[[#This Row],[Cumul 2022]]-Tableau6[[#This Row],[Cumul 2021]]</f>
        <v>#N/A</v>
      </c>
      <c r="L333" s="37" t="e">
        <f>Tableau6[[#This Row],[Ecart 2021 2022]]/Tableau6[[#This Row],[Cumul 2021]]</f>
        <v>#N/A</v>
      </c>
      <c r="M333" s="35" t="str">
        <f>IF(ISNA(Tableau6[[#This Row],[Position 2023]]),"",INDEX(tabSuiviConso[HP + HC
cumul],Tableau6[[#This Row],[Position 2023]],1))</f>
        <v/>
      </c>
      <c r="N333" s="56" t="e">
        <f>IF(ISNA(Tableau6[[#This Row],[Position 2023]]),Tableau6[[#This Row],[Position 2023]],Tableau6[[#This Row],[2023]]-M$2)</f>
        <v>#N/A</v>
      </c>
      <c r="O333" s="35" t="e">
        <f>Tableau6[[#This Row],[Cumul 2023]]-Tableau6[[#This Row],[Cumul 2022]]</f>
        <v>#N/A</v>
      </c>
      <c r="P333" s="37" t="e">
        <f>Tableau6[[#This Row],[Ecart 2022 2023]]/Tableau6[[#This Row],[Cumul 2022]]</f>
        <v>#N/A</v>
      </c>
      <c r="Q333" s="35" t="e">
        <f>MATCH(Tableau6[Jours Mois]&amp;"/"&amp;Tableau6[[#Headers],[2024]],tabSuiviConso[Jour Mois Année],0)</f>
        <v>#N/A</v>
      </c>
      <c r="R333" s="35" t="str">
        <f>IF(ISNA(Tableau6[[#This Row],[Position 2024]]),"",INDEX(tabSuiviConso[HP + HC
cumul],Tableau6[[#This Row],[Position 2024]],1))</f>
        <v/>
      </c>
      <c r="S333" s="56" t="e">
        <f>IF(ISNA(Tableau6[[#This Row],[Position 2024]]),Tableau6[[#This Row],[Position 2024]],Tableau6[[#This Row],[2024]]-R$2)</f>
        <v>#N/A</v>
      </c>
      <c r="T333" s="35" t="e">
        <f>Tableau6[[#This Row],[Cumul 2024]]-Tableau6[[#This Row],[Cumul 2023]]</f>
        <v>#N/A</v>
      </c>
      <c r="U333" s="36" t="e">
        <f>Tableau6[[#This Row],[Ecart 2023 2024]]/Tableau6[[#This Row],[Cumul 2023]]</f>
        <v>#N/A</v>
      </c>
    </row>
    <row r="334" spans="1:21" x14ac:dyDescent="0.2">
      <c r="A334" s="35">
        <v>11</v>
      </c>
      <c r="B334" s="35">
        <v>27</v>
      </c>
      <c r="C334" s="35" t="str">
        <f>Tableau6[Jour]&amp;"/"&amp;Tableau6[Mois]</f>
        <v>27/11</v>
      </c>
      <c r="D334" s="35" t="e">
        <f>MATCH(Tableau6[Jours Mois]&amp;"/"&amp;Tableau6[[#Headers],[2021]],tabSuiviConso[Jour Mois Année],0)</f>
        <v>#N/A</v>
      </c>
      <c r="E334" s="35" t="str">
        <f>IF(ISNA(Tableau6[[#This Row],[Position 2021]]),"",INDEX(tabSuiviConso[HP + HC
cumul],Tableau6[[#This Row],[Position 2021]],1))</f>
        <v/>
      </c>
      <c r="F334" s="56" t="e">
        <f>IF(ISNA(Tableau6[[#This Row],[Position 2021]]),Tableau6[[#This Row],[Position 2021]],Tableau6[[#This Row],[2021]]-E$2)</f>
        <v>#N/A</v>
      </c>
      <c r="G334" s="35" t="e">
        <f>MATCH(Tableau6[Jours Mois]&amp;"/"&amp;Tableau6[[#Headers],[2022]],tabSuiviConso[Jour Mois Année],0)</f>
        <v>#N/A</v>
      </c>
      <c r="H334" s="35" t="str">
        <f>IF(ISNA(Tableau6[[#This Row],[Position 2022]]),"",INDEX(tabSuiviConso[HP + HC
cumul],Tableau6[[#This Row],[Position 2022]],1))</f>
        <v/>
      </c>
      <c r="I334" s="56" t="e">
        <f>IF(ISNA(Tableau6[[#This Row],[Position 2022]]),Tableau6[[#This Row],[Position 2022]],Tableau6[[#This Row],[2022]]-H$2)</f>
        <v>#N/A</v>
      </c>
      <c r="J334" s="35" t="e">
        <f>MATCH(Tableau6[Jours Mois]&amp;"/"&amp;Tableau6[[#Headers],[2023]],tabSuiviConso[Jour Mois Année],0)</f>
        <v>#N/A</v>
      </c>
      <c r="K334" s="35" t="e">
        <f>Tableau6[[#This Row],[Cumul 2022]]-Tableau6[[#This Row],[Cumul 2021]]</f>
        <v>#N/A</v>
      </c>
      <c r="L334" s="37" t="e">
        <f>Tableau6[[#This Row],[Ecart 2021 2022]]/Tableau6[[#This Row],[Cumul 2021]]</f>
        <v>#N/A</v>
      </c>
      <c r="M334" s="35" t="str">
        <f>IF(ISNA(Tableau6[[#This Row],[Position 2023]]),"",INDEX(tabSuiviConso[HP + HC
cumul],Tableau6[[#This Row],[Position 2023]],1))</f>
        <v/>
      </c>
      <c r="N334" s="56" t="e">
        <f>IF(ISNA(Tableau6[[#This Row],[Position 2023]]),Tableau6[[#This Row],[Position 2023]],Tableau6[[#This Row],[2023]]-M$2)</f>
        <v>#N/A</v>
      </c>
      <c r="O334" s="35" t="e">
        <f>Tableau6[[#This Row],[Cumul 2023]]-Tableau6[[#This Row],[Cumul 2022]]</f>
        <v>#N/A</v>
      </c>
      <c r="P334" s="37" t="e">
        <f>Tableau6[[#This Row],[Ecart 2022 2023]]/Tableau6[[#This Row],[Cumul 2022]]</f>
        <v>#N/A</v>
      </c>
      <c r="Q334" s="35" t="e">
        <f>MATCH(Tableau6[Jours Mois]&amp;"/"&amp;Tableau6[[#Headers],[2024]],tabSuiviConso[Jour Mois Année],0)</f>
        <v>#N/A</v>
      </c>
      <c r="R334" s="35" t="str">
        <f>IF(ISNA(Tableau6[[#This Row],[Position 2024]]),"",INDEX(tabSuiviConso[HP + HC
cumul],Tableau6[[#This Row],[Position 2024]],1))</f>
        <v/>
      </c>
      <c r="S334" s="56" t="e">
        <f>IF(ISNA(Tableau6[[#This Row],[Position 2024]]),Tableau6[[#This Row],[Position 2024]],Tableau6[[#This Row],[2024]]-R$2)</f>
        <v>#N/A</v>
      </c>
      <c r="T334" s="35" t="e">
        <f>Tableau6[[#This Row],[Cumul 2024]]-Tableau6[[#This Row],[Cumul 2023]]</f>
        <v>#N/A</v>
      </c>
      <c r="U334" s="36" t="e">
        <f>Tableau6[[#This Row],[Ecart 2023 2024]]/Tableau6[[#This Row],[Cumul 2023]]</f>
        <v>#N/A</v>
      </c>
    </row>
    <row r="335" spans="1:21" x14ac:dyDescent="0.2">
      <c r="A335" s="35">
        <v>11</v>
      </c>
      <c r="B335" s="35">
        <v>28</v>
      </c>
      <c r="C335" s="35" t="str">
        <f>Tableau6[Jour]&amp;"/"&amp;Tableau6[Mois]</f>
        <v>28/11</v>
      </c>
      <c r="D335" s="35" t="e">
        <f>MATCH(Tableau6[Jours Mois]&amp;"/"&amp;Tableau6[[#Headers],[2021]],tabSuiviConso[Jour Mois Année],0)</f>
        <v>#N/A</v>
      </c>
      <c r="E335" s="35" t="str">
        <f>IF(ISNA(Tableau6[[#This Row],[Position 2021]]),"",INDEX(tabSuiviConso[HP + HC
cumul],Tableau6[[#This Row],[Position 2021]],1))</f>
        <v/>
      </c>
      <c r="F335" s="56" t="e">
        <f>IF(ISNA(Tableau6[[#This Row],[Position 2021]]),Tableau6[[#This Row],[Position 2021]],Tableau6[[#This Row],[2021]]-E$2)</f>
        <v>#N/A</v>
      </c>
      <c r="G335" s="35" t="e">
        <f>MATCH(Tableau6[Jours Mois]&amp;"/"&amp;Tableau6[[#Headers],[2022]],tabSuiviConso[Jour Mois Année],0)</f>
        <v>#N/A</v>
      </c>
      <c r="H335" s="35" t="str">
        <f>IF(ISNA(Tableau6[[#This Row],[Position 2022]]),"",INDEX(tabSuiviConso[HP + HC
cumul],Tableau6[[#This Row],[Position 2022]],1))</f>
        <v/>
      </c>
      <c r="I335" s="56" t="e">
        <f>IF(ISNA(Tableau6[[#This Row],[Position 2022]]),Tableau6[[#This Row],[Position 2022]],Tableau6[[#This Row],[2022]]-H$2)</f>
        <v>#N/A</v>
      </c>
      <c r="J335" s="35" t="e">
        <f>MATCH(Tableau6[Jours Mois]&amp;"/"&amp;Tableau6[[#Headers],[2023]],tabSuiviConso[Jour Mois Année],0)</f>
        <v>#N/A</v>
      </c>
      <c r="K335" s="35" t="e">
        <f>Tableau6[[#This Row],[Cumul 2022]]-Tableau6[[#This Row],[Cumul 2021]]</f>
        <v>#N/A</v>
      </c>
      <c r="L335" s="37" t="e">
        <f>Tableau6[[#This Row],[Ecart 2021 2022]]/Tableau6[[#This Row],[Cumul 2021]]</f>
        <v>#N/A</v>
      </c>
      <c r="M335" s="35" t="str">
        <f>IF(ISNA(Tableau6[[#This Row],[Position 2023]]),"",INDEX(tabSuiviConso[HP + HC
cumul],Tableau6[[#This Row],[Position 2023]],1))</f>
        <v/>
      </c>
      <c r="N335" s="56" t="e">
        <f>IF(ISNA(Tableau6[[#This Row],[Position 2023]]),Tableau6[[#This Row],[Position 2023]],Tableau6[[#This Row],[2023]]-M$2)</f>
        <v>#N/A</v>
      </c>
      <c r="O335" s="35" t="e">
        <f>Tableau6[[#This Row],[Cumul 2023]]-Tableau6[[#This Row],[Cumul 2022]]</f>
        <v>#N/A</v>
      </c>
      <c r="P335" s="37" t="e">
        <f>Tableau6[[#This Row],[Ecart 2022 2023]]/Tableau6[[#This Row],[Cumul 2022]]</f>
        <v>#N/A</v>
      </c>
      <c r="Q335" s="35" t="e">
        <f>MATCH(Tableau6[Jours Mois]&amp;"/"&amp;Tableau6[[#Headers],[2024]],tabSuiviConso[Jour Mois Année],0)</f>
        <v>#N/A</v>
      </c>
      <c r="R335" s="35" t="str">
        <f>IF(ISNA(Tableau6[[#This Row],[Position 2024]]),"",INDEX(tabSuiviConso[HP + HC
cumul],Tableau6[[#This Row],[Position 2024]],1))</f>
        <v/>
      </c>
      <c r="S335" s="56" t="e">
        <f>IF(ISNA(Tableau6[[#This Row],[Position 2024]]),Tableau6[[#This Row],[Position 2024]],Tableau6[[#This Row],[2024]]-R$2)</f>
        <v>#N/A</v>
      </c>
      <c r="T335" s="35" t="e">
        <f>Tableau6[[#This Row],[Cumul 2024]]-Tableau6[[#This Row],[Cumul 2023]]</f>
        <v>#N/A</v>
      </c>
      <c r="U335" s="36" t="e">
        <f>Tableau6[[#This Row],[Ecart 2023 2024]]/Tableau6[[#This Row],[Cumul 2023]]</f>
        <v>#N/A</v>
      </c>
    </row>
    <row r="336" spans="1:21" x14ac:dyDescent="0.2">
      <c r="A336" s="35">
        <v>11</v>
      </c>
      <c r="B336" s="35">
        <v>29</v>
      </c>
      <c r="C336" s="35" t="str">
        <f>Tableau6[Jour]&amp;"/"&amp;Tableau6[Mois]</f>
        <v>29/11</v>
      </c>
      <c r="D336" s="35" t="e">
        <f>MATCH(Tableau6[Jours Mois]&amp;"/"&amp;Tableau6[[#Headers],[2021]],tabSuiviConso[Jour Mois Année],0)</f>
        <v>#N/A</v>
      </c>
      <c r="E336" s="35" t="str">
        <f>IF(ISNA(Tableau6[[#This Row],[Position 2021]]),"",INDEX(tabSuiviConso[HP + HC
cumul],Tableau6[[#This Row],[Position 2021]],1))</f>
        <v/>
      </c>
      <c r="F336" s="56" t="e">
        <f>IF(ISNA(Tableau6[[#This Row],[Position 2021]]),Tableau6[[#This Row],[Position 2021]],Tableau6[[#This Row],[2021]]-E$2)</f>
        <v>#N/A</v>
      </c>
      <c r="G336" s="35" t="e">
        <f>MATCH(Tableau6[Jours Mois]&amp;"/"&amp;Tableau6[[#Headers],[2022]],tabSuiviConso[Jour Mois Année],0)</f>
        <v>#N/A</v>
      </c>
      <c r="H336" s="35" t="str">
        <f>IF(ISNA(Tableau6[[#This Row],[Position 2022]]),"",INDEX(tabSuiviConso[HP + HC
cumul],Tableau6[[#This Row],[Position 2022]],1))</f>
        <v/>
      </c>
      <c r="I336" s="56" t="e">
        <f>IF(ISNA(Tableau6[[#This Row],[Position 2022]]),Tableau6[[#This Row],[Position 2022]],Tableau6[[#This Row],[2022]]-H$2)</f>
        <v>#N/A</v>
      </c>
      <c r="J336" s="35" t="e">
        <f>MATCH(Tableau6[Jours Mois]&amp;"/"&amp;Tableau6[[#Headers],[2023]],tabSuiviConso[Jour Mois Année],0)</f>
        <v>#N/A</v>
      </c>
      <c r="K336" s="35" t="e">
        <f>Tableau6[[#This Row],[Cumul 2022]]-Tableau6[[#This Row],[Cumul 2021]]</f>
        <v>#N/A</v>
      </c>
      <c r="L336" s="37" t="e">
        <f>Tableau6[[#This Row],[Ecart 2021 2022]]/Tableau6[[#This Row],[Cumul 2021]]</f>
        <v>#N/A</v>
      </c>
      <c r="M336" s="35" t="str">
        <f>IF(ISNA(Tableau6[[#This Row],[Position 2023]]),"",INDEX(tabSuiviConso[HP + HC
cumul],Tableau6[[#This Row],[Position 2023]],1))</f>
        <v/>
      </c>
      <c r="N336" s="56" t="e">
        <f>IF(ISNA(Tableau6[[#This Row],[Position 2023]]),Tableau6[[#This Row],[Position 2023]],Tableau6[[#This Row],[2023]]-M$2)</f>
        <v>#N/A</v>
      </c>
      <c r="O336" s="35" t="e">
        <f>Tableau6[[#This Row],[Cumul 2023]]-Tableau6[[#This Row],[Cumul 2022]]</f>
        <v>#N/A</v>
      </c>
      <c r="P336" s="37" t="e">
        <f>Tableau6[[#This Row],[Ecart 2022 2023]]/Tableau6[[#This Row],[Cumul 2022]]</f>
        <v>#N/A</v>
      </c>
      <c r="Q336" s="35" t="e">
        <f>MATCH(Tableau6[Jours Mois]&amp;"/"&amp;Tableau6[[#Headers],[2024]],tabSuiviConso[Jour Mois Année],0)</f>
        <v>#N/A</v>
      </c>
      <c r="R336" s="35" t="str">
        <f>IF(ISNA(Tableau6[[#This Row],[Position 2024]]),"",INDEX(tabSuiviConso[HP + HC
cumul],Tableau6[[#This Row],[Position 2024]],1))</f>
        <v/>
      </c>
      <c r="S336" s="56" t="e">
        <f>IF(ISNA(Tableau6[[#This Row],[Position 2024]]),Tableau6[[#This Row],[Position 2024]],Tableau6[[#This Row],[2024]]-R$2)</f>
        <v>#N/A</v>
      </c>
      <c r="T336" s="35" t="e">
        <f>Tableau6[[#This Row],[Cumul 2024]]-Tableau6[[#This Row],[Cumul 2023]]</f>
        <v>#N/A</v>
      </c>
      <c r="U336" s="36" t="e">
        <f>Tableau6[[#This Row],[Ecart 2023 2024]]/Tableau6[[#This Row],[Cumul 2023]]</f>
        <v>#N/A</v>
      </c>
    </row>
    <row r="337" spans="1:21" x14ac:dyDescent="0.2">
      <c r="A337" s="35">
        <v>11</v>
      </c>
      <c r="B337" s="35">
        <v>30</v>
      </c>
      <c r="C337" s="35" t="str">
        <f>Tableau6[Jour]&amp;"/"&amp;Tableau6[Mois]</f>
        <v>30/11</v>
      </c>
      <c r="D337" s="35" t="e">
        <f>MATCH(Tableau6[Jours Mois]&amp;"/"&amp;Tableau6[[#Headers],[2021]],tabSuiviConso[Jour Mois Année],0)</f>
        <v>#N/A</v>
      </c>
      <c r="E337" s="35" t="str">
        <f>IF(ISNA(Tableau6[[#This Row],[Position 2021]]),"",INDEX(tabSuiviConso[HP + HC
cumul],Tableau6[[#This Row],[Position 2021]],1))</f>
        <v/>
      </c>
      <c r="F337" s="56" t="e">
        <f>IF(ISNA(Tableau6[[#This Row],[Position 2021]]),Tableau6[[#This Row],[Position 2021]],Tableau6[[#This Row],[2021]]-E$2)</f>
        <v>#N/A</v>
      </c>
      <c r="G337" s="35" t="e">
        <f>MATCH(Tableau6[Jours Mois]&amp;"/"&amp;Tableau6[[#Headers],[2022]],tabSuiviConso[Jour Mois Année],0)</f>
        <v>#N/A</v>
      </c>
      <c r="H337" s="35" t="str">
        <f>IF(ISNA(Tableau6[[#This Row],[Position 2022]]),"",INDEX(tabSuiviConso[HP + HC
cumul],Tableau6[[#This Row],[Position 2022]],1))</f>
        <v/>
      </c>
      <c r="I337" s="56" t="e">
        <f>IF(ISNA(Tableau6[[#This Row],[Position 2022]]),Tableau6[[#This Row],[Position 2022]],Tableau6[[#This Row],[2022]]-H$2)</f>
        <v>#N/A</v>
      </c>
      <c r="J337" s="35" t="e">
        <f>MATCH(Tableau6[Jours Mois]&amp;"/"&amp;Tableau6[[#Headers],[2023]],tabSuiviConso[Jour Mois Année],0)</f>
        <v>#N/A</v>
      </c>
      <c r="K337" s="35" t="e">
        <f>Tableau6[[#This Row],[Cumul 2022]]-Tableau6[[#This Row],[Cumul 2021]]</f>
        <v>#N/A</v>
      </c>
      <c r="L337" s="37" t="e">
        <f>Tableau6[[#This Row],[Ecart 2021 2022]]/Tableau6[[#This Row],[Cumul 2021]]</f>
        <v>#N/A</v>
      </c>
      <c r="M337" s="35" t="str">
        <f>IF(ISNA(Tableau6[[#This Row],[Position 2023]]),"",INDEX(tabSuiviConso[HP + HC
cumul],Tableau6[[#This Row],[Position 2023]],1))</f>
        <v/>
      </c>
      <c r="N337" s="56" t="e">
        <f>IF(ISNA(Tableau6[[#This Row],[Position 2023]]),Tableau6[[#This Row],[Position 2023]],Tableau6[[#This Row],[2023]]-M$2)</f>
        <v>#N/A</v>
      </c>
      <c r="O337" s="35" t="e">
        <f>Tableau6[[#This Row],[Cumul 2023]]-Tableau6[[#This Row],[Cumul 2022]]</f>
        <v>#N/A</v>
      </c>
      <c r="P337" s="37" t="e">
        <f>Tableau6[[#This Row],[Ecart 2022 2023]]/Tableau6[[#This Row],[Cumul 2022]]</f>
        <v>#N/A</v>
      </c>
      <c r="Q337" s="35" t="e">
        <f>MATCH(Tableau6[Jours Mois]&amp;"/"&amp;Tableau6[[#Headers],[2024]],tabSuiviConso[Jour Mois Année],0)</f>
        <v>#N/A</v>
      </c>
      <c r="R337" s="35" t="str">
        <f>IF(ISNA(Tableau6[[#This Row],[Position 2024]]),"",INDEX(tabSuiviConso[HP + HC
cumul],Tableau6[[#This Row],[Position 2024]],1))</f>
        <v/>
      </c>
      <c r="S337" s="56" t="e">
        <f>IF(ISNA(Tableau6[[#This Row],[Position 2024]]),Tableau6[[#This Row],[Position 2024]],Tableau6[[#This Row],[2024]]-R$2)</f>
        <v>#N/A</v>
      </c>
      <c r="T337" s="35" t="e">
        <f>Tableau6[[#This Row],[Cumul 2024]]-Tableau6[[#This Row],[Cumul 2023]]</f>
        <v>#N/A</v>
      </c>
      <c r="U337" s="36" t="e">
        <f>Tableau6[[#This Row],[Ecart 2023 2024]]/Tableau6[[#This Row],[Cumul 2023]]</f>
        <v>#N/A</v>
      </c>
    </row>
    <row r="338" spans="1:21" x14ac:dyDescent="0.2">
      <c r="A338" s="35">
        <v>12</v>
      </c>
      <c r="B338" s="35">
        <v>1</v>
      </c>
      <c r="C338" s="35" t="str">
        <f>Tableau6[Jour]&amp;"/"&amp;Tableau6[Mois]</f>
        <v>1/12</v>
      </c>
      <c r="D338" s="35" t="e">
        <f>MATCH(Tableau6[Jours Mois]&amp;"/"&amp;Tableau6[[#Headers],[2021]],tabSuiviConso[Jour Mois Année],0)</f>
        <v>#N/A</v>
      </c>
      <c r="E338" s="35" t="str">
        <f>IF(ISNA(Tableau6[[#This Row],[Position 2021]]),"",INDEX(tabSuiviConso[HP + HC
cumul],Tableau6[[#This Row],[Position 2021]],1))</f>
        <v/>
      </c>
      <c r="F338" s="56" t="e">
        <f>IF(ISNA(Tableau6[[#This Row],[Position 2021]]),Tableau6[[#This Row],[Position 2021]],Tableau6[[#This Row],[2021]]-E$2)</f>
        <v>#N/A</v>
      </c>
      <c r="G338" s="35" t="e">
        <f>MATCH(Tableau6[Jours Mois]&amp;"/"&amp;Tableau6[[#Headers],[2022]],tabSuiviConso[Jour Mois Année],0)</f>
        <v>#N/A</v>
      </c>
      <c r="H338" s="35" t="str">
        <f>IF(ISNA(Tableau6[[#This Row],[Position 2022]]),"",INDEX(tabSuiviConso[HP + HC
cumul],Tableau6[[#This Row],[Position 2022]],1))</f>
        <v/>
      </c>
      <c r="I338" s="56" t="e">
        <f>IF(ISNA(Tableau6[[#This Row],[Position 2022]]),Tableau6[[#This Row],[Position 2022]],Tableau6[[#This Row],[2022]]-H$2)</f>
        <v>#N/A</v>
      </c>
      <c r="J338" s="35" t="e">
        <f>MATCH(Tableau6[Jours Mois]&amp;"/"&amp;Tableau6[[#Headers],[2023]],tabSuiviConso[Jour Mois Année],0)</f>
        <v>#N/A</v>
      </c>
      <c r="K338" s="35" t="e">
        <f>Tableau6[[#This Row],[Cumul 2022]]-Tableau6[[#This Row],[Cumul 2021]]</f>
        <v>#N/A</v>
      </c>
      <c r="L338" s="37" t="e">
        <f>Tableau6[[#This Row],[Ecart 2021 2022]]/Tableau6[[#This Row],[Cumul 2021]]</f>
        <v>#N/A</v>
      </c>
      <c r="M338" s="35" t="str">
        <f>IF(ISNA(Tableau6[[#This Row],[Position 2023]]),"",INDEX(tabSuiviConso[HP + HC
cumul],Tableau6[[#This Row],[Position 2023]],1))</f>
        <v/>
      </c>
      <c r="N338" s="56" t="e">
        <f>IF(ISNA(Tableau6[[#This Row],[Position 2023]]),Tableau6[[#This Row],[Position 2023]],Tableau6[[#This Row],[2023]]-M$2)</f>
        <v>#N/A</v>
      </c>
      <c r="O338" s="35" t="e">
        <f>Tableau6[[#This Row],[Cumul 2023]]-Tableau6[[#This Row],[Cumul 2022]]</f>
        <v>#N/A</v>
      </c>
      <c r="P338" s="37" t="e">
        <f>Tableau6[[#This Row],[Ecart 2022 2023]]/Tableau6[[#This Row],[Cumul 2022]]</f>
        <v>#N/A</v>
      </c>
      <c r="Q338" s="35" t="e">
        <f>MATCH(Tableau6[Jours Mois]&amp;"/"&amp;Tableau6[[#Headers],[2024]],tabSuiviConso[Jour Mois Année],0)</f>
        <v>#N/A</v>
      </c>
      <c r="R338" s="35" t="str">
        <f>IF(ISNA(Tableau6[[#This Row],[Position 2024]]),"",INDEX(tabSuiviConso[HP + HC
cumul],Tableau6[[#This Row],[Position 2024]],1))</f>
        <v/>
      </c>
      <c r="S338" s="56" t="e">
        <f>IF(ISNA(Tableau6[[#This Row],[Position 2024]]),Tableau6[[#This Row],[Position 2024]],Tableau6[[#This Row],[2024]]-R$2)</f>
        <v>#N/A</v>
      </c>
      <c r="T338" s="35" t="e">
        <f>Tableau6[[#This Row],[Cumul 2024]]-Tableau6[[#This Row],[Cumul 2023]]</f>
        <v>#N/A</v>
      </c>
      <c r="U338" s="36" t="e">
        <f>Tableau6[[#This Row],[Ecart 2023 2024]]/Tableau6[[#This Row],[Cumul 2023]]</f>
        <v>#N/A</v>
      </c>
    </row>
    <row r="339" spans="1:21" x14ac:dyDescent="0.2">
      <c r="A339" s="35">
        <v>12</v>
      </c>
      <c r="B339" s="35">
        <v>2</v>
      </c>
      <c r="C339" s="35" t="str">
        <f>Tableau6[Jour]&amp;"/"&amp;Tableau6[Mois]</f>
        <v>2/12</v>
      </c>
      <c r="D339" s="35" t="e">
        <f>MATCH(Tableau6[Jours Mois]&amp;"/"&amp;Tableau6[[#Headers],[2021]],tabSuiviConso[Jour Mois Année],0)</f>
        <v>#N/A</v>
      </c>
      <c r="E339" s="35" t="str">
        <f>IF(ISNA(Tableau6[[#This Row],[Position 2021]]),"",INDEX(tabSuiviConso[HP + HC
cumul],Tableau6[[#This Row],[Position 2021]],1))</f>
        <v/>
      </c>
      <c r="F339" s="56" t="e">
        <f>IF(ISNA(Tableau6[[#This Row],[Position 2021]]),Tableau6[[#This Row],[Position 2021]],Tableau6[[#This Row],[2021]]-E$2)</f>
        <v>#N/A</v>
      </c>
      <c r="G339" s="35" t="e">
        <f>MATCH(Tableau6[Jours Mois]&amp;"/"&amp;Tableau6[[#Headers],[2022]],tabSuiviConso[Jour Mois Année],0)</f>
        <v>#N/A</v>
      </c>
      <c r="H339" s="35" t="str">
        <f>IF(ISNA(Tableau6[[#This Row],[Position 2022]]),"",INDEX(tabSuiviConso[HP + HC
cumul],Tableau6[[#This Row],[Position 2022]],1))</f>
        <v/>
      </c>
      <c r="I339" s="56" t="e">
        <f>IF(ISNA(Tableau6[[#This Row],[Position 2022]]),Tableau6[[#This Row],[Position 2022]],Tableau6[[#This Row],[2022]]-H$2)</f>
        <v>#N/A</v>
      </c>
      <c r="J339" s="35" t="e">
        <f>MATCH(Tableau6[Jours Mois]&amp;"/"&amp;Tableau6[[#Headers],[2023]],tabSuiviConso[Jour Mois Année],0)</f>
        <v>#N/A</v>
      </c>
      <c r="K339" s="35" t="e">
        <f>Tableau6[[#This Row],[Cumul 2022]]-Tableau6[[#This Row],[Cumul 2021]]</f>
        <v>#N/A</v>
      </c>
      <c r="L339" s="37" t="e">
        <f>Tableau6[[#This Row],[Ecart 2021 2022]]/Tableau6[[#This Row],[Cumul 2021]]</f>
        <v>#N/A</v>
      </c>
      <c r="M339" s="35" t="str">
        <f>IF(ISNA(Tableau6[[#This Row],[Position 2023]]),"",INDEX(tabSuiviConso[HP + HC
cumul],Tableau6[[#This Row],[Position 2023]],1))</f>
        <v/>
      </c>
      <c r="N339" s="56" t="e">
        <f>IF(ISNA(Tableau6[[#This Row],[Position 2023]]),Tableau6[[#This Row],[Position 2023]],Tableau6[[#This Row],[2023]]-M$2)</f>
        <v>#N/A</v>
      </c>
      <c r="O339" s="35" t="e">
        <f>Tableau6[[#This Row],[Cumul 2023]]-Tableau6[[#This Row],[Cumul 2022]]</f>
        <v>#N/A</v>
      </c>
      <c r="P339" s="37" t="e">
        <f>Tableau6[[#This Row],[Ecart 2022 2023]]/Tableau6[[#This Row],[Cumul 2022]]</f>
        <v>#N/A</v>
      </c>
      <c r="Q339" s="35" t="e">
        <f>MATCH(Tableau6[Jours Mois]&amp;"/"&amp;Tableau6[[#Headers],[2024]],tabSuiviConso[Jour Mois Année],0)</f>
        <v>#N/A</v>
      </c>
      <c r="R339" s="35" t="str">
        <f>IF(ISNA(Tableau6[[#This Row],[Position 2024]]),"",INDEX(tabSuiviConso[HP + HC
cumul],Tableau6[[#This Row],[Position 2024]],1))</f>
        <v/>
      </c>
      <c r="S339" s="56" t="e">
        <f>IF(ISNA(Tableau6[[#This Row],[Position 2024]]),Tableau6[[#This Row],[Position 2024]],Tableau6[[#This Row],[2024]]-R$2)</f>
        <v>#N/A</v>
      </c>
      <c r="T339" s="35" t="e">
        <f>Tableau6[[#This Row],[Cumul 2024]]-Tableau6[[#This Row],[Cumul 2023]]</f>
        <v>#N/A</v>
      </c>
      <c r="U339" s="36" t="e">
        <f>Tableau6[[#This Row],[Ecart 2023 2024]]/Tableau6[[#This Row],[Cumul 2023]]</f>
        <v>#N/A</v>
      </c>
    </row>
    <row r="340" spans="1:21" x14ac:dyDescent="0.2">
      <c r="A340" s="35">
        <v>12</v>
      </c>
      <c r="B340" s="35">
        <v>3</v>
      </c>
      <c r="C340" s="35" t="str">
        <f>Tableau6[Jour]&amp;"/"&amp;Tableau6[Mois]</f>
        <v>3/12</v>
      </c>
      <c r="D340" s="35" t="e">
        <f>MATCH(Tableau6[Jours Mois]&amp;"/"&amp;Tableau6[[#Headers],[2021]],tabSuiviConso[Jour Mois Année],0)</f>
        <v>#N/A</v>
      </c>
      <c r="E340" s="35" t="str">
        <f>IF(ISNA(Tableau6[[#This Row],[Position 2021]]),"",INDEX(tabSuiviConso[HP + HC
cumul],Tableau6[[#This Row],[Position 2021]],1))</f>
        <v/>
      </c>
      <c r="F340" s="56" t="e">
        <f>IF(ISNA(Tableau6[[#This Row],[Position 2021]]),Tableau6[[#This Row],[Position 2021]],Tableau6[[#This Row],[2021]]-E$2)</f>
        <v>#N/A</v>
      </c>
      <c r="G340" s="35" t="e">
        <f>MATCH(Tableau6[Jours Mois]&amp;"/"&amp;Tableau6[[#Headers],[2022]],tabSuiviConso[Jour Mois Année],0)</f>
        <v>#N/A</v>
      </c>
      <c r="H340" s="35" t="str">
        <f>IF(ISNA(Tableau6[[#This Row],[Position 2022]]),"",INDEX(tabSuiviConso[HP + HC
cumul],Tableau6[[#This Row],[Position 2022]],1))</f>
        <v/>
      </c>
      <c r="I340" s="56" t="e">
        <f>IF(ISNA(Tableau6[[#This Row],[Position 2022]]),Tableau6[[#This Row],[Position 2022]],Tableau6[[#This Row],[2022]]-H$2)</f>
        <v>#N/A</v>
      </c>
      <c r="J340" s="35" t="e">
        <f>MATCH(Tableau6[Jours Mois]&amp;"/"&amp;Tableau6[[#Headers],[2023]],tabSuiviConso[Jour Mois Année],0)</f>
        <v>#N/A</v>
      </c>
      <c r="K340" s="35" t="e">
        <f>Tableau6[[#This Row],[Cumul 2022]]-Tableau6[[#This Row],[Cumul 2021]]</f>
        <v>#N/A</v>
      </c>
      <c r="L340" s="37" t="e">
        <f>Tableau6[[#This Row],[Ecart 2021 2022]]/Tableau6[[#This Row],[Cumul 2021]]</f>
        <v>#N/A</v>
      </c>
      <c r="M340" s="35" t="str">
        <f>IF(ISNA(Tableau6[[#This Row],[Position 2023]]),"",INDEX(tabSuiviConso[HP + HC
cumul],Tableau6[[#This Row],[Position 2023]],1))</f>
        <v/>
      </c>
      <c r="N340" s="56" t="e">
        <f>IF(ISNA(Tableau6[[#This Row],[Position 2023]]),Tableau6[[#This Row],[Position 2023]],Tableau6[[#This Row],[2023]]-M$2)</f>
        <v>#N/A</v>
      </c>
      <c r="O340" s="35" t="e">
        <f>Tableau6[[#This Row],[Cumul 2023]]-Tableau6[[#This Row],[Cumul 2022]]</f>
        <v>#N/A</v>
      </c>
      <c r="P340" s="37" t="e">
        <f>Tableau6[[#This Row],[Ecart 2022 2023]]/Tableau6[[#This Row],[Cumul 2022]]</f>
        <v>#N/A</v>
      </c>
      <c r="Q340" s="35">
        <f>MATCH(Tableau6[Jours Mois]&amp;"/"&amp;Tableau6[[#Headers],[2024]],tabSuiviConso[Jour Mois Année],0)</f>
        <v>1</v>
      </c>
      <c r="R340" s="35">
        <f>IF(ISNA(Tableau6[[#This Row],[Position 2024]]),"",INDEX(tabSuiviConso[HP + HC
cumul],Tableau6[[#This Row],[Position 2024]],1))</f>
        <v>0</v>
      </c>
      <c r="S340" s="56" t="e">
        <f>IF(ISNA(Tableau6[[#This Row],[Position 2024]]),Tableau6[[#This Row],[Position 2024]],Tableau6[[#This Row],[2024]]-R$2)</f>
        <v>#VALUE!</v>
      </c>
      <c r="T340" s="35" t="e">
        <f>Tableau6[[#This Row],[Cumul 2024]]-Tableau6[[#This Row],[Cumul 2023]]</f>
        <v>#VALUE!</v>
      </c>
      <c r="U340" s="36" t="e">
        <f>Tableau6[[#This Row],[Ecart 2023 2024]]/Tableau6[[#This Row],[Cumul 2023]]</f>
        <v>#VALUE!</v>
      </c>
    </row>
    <row r="341" spans="1:21" x14ac:dyDescent="0.2">
      <c r="A341" s="35">
        <v>12</v>
      </c>
      <c r="B341" s="35">
        <v>4</v>
      </c>
      <c r="C341" s="35" t="str">
        <f>Tableau6[Jour]&amp;"/"&amp;Tableau6[Mois]</f>
        <v>4/12</v>
      </c>
      <c r="D341" s="35" t="e">
        <f>MATCH(Tableau6[Jours Mois]&amp;"/"&amp;Tableau6[[#Headers],[2021]],tabSuiviConso[Jour Mois Année],0)</f>
        <v>#N/A</v>
      </c>
      <c r="E341" s="35" t="str">
        <f>IF(ISNA(Tableau6[[#This Row],[Position 2021]]),"",INDEX(tabSuiviConso[HP + HC
cumul],Tableau6[[#This Row],[Position 2021]],1))</f>
        <v/>
      </c>
      <c r="F341" s="56" t="e">
        <f>IF(ISNA(Tableau6[[#This Row],[Position 2021]]),Tableau6[[#This Row],[Position 2021]],Tableau6[[#This Row],[2021]]-E$2)</f>
        <v>#N/A</v>
      </c>
      <c r="G341" s="35" t="e">
        <f>MATCH(Tableau6[Jours Mois]&amp;"/"&amp;Tableau6[[#Headers],[2022]],tabSuiviConso[Jour Mois Année],0)</f>
        <v>#N/A</v>
      </c>
      <c r="H341" s="35" t="str">
        <f>IF(ISNA(Tableau6[[#This Row],[Position 2022]]),"",INDEX(tabSuiviConso[HP + HC
cumul],Tableau6[[#This Row],[Position 2022]],1))</f>
        <v/>
      </c>
      <c r="I341" s="56" t="e">
        <f>IF(ISNA(Tableau6[[#This Row],[Position 2022]]),Tableau6[[#This Row],[Position 2022]],Tableau6[[#This Row],[2022]]-H$2)</f>
        <v>#N/A</v>
      </c>
      <c r="J341" s="35" t="e">
        <f>MATCH(Tableau6[Jours Mois]&amp;"/"&amp;Tableau6[[#Headers],[2023]],tabSuiviConso[Jour Mois Année],0)</f>
        <v>#N/A</v>
      </c>
      <c r="K341" s="35" t="e">
        <f>Tableau6[[#This Row],[Cumul 2022]]-Tableau6[[#This Row],[Cumul 2021]]</f>
        <v>#N/A</v>
      </c>
      <c r="L341" s="37" t="e">
        <f>Tableau6[[#This Row],[Ecart 2021 2022]]/Tableau6[[#This Row],[Cumul 2021]]</f>
        <v>#N/A</v>
      </c>
      <c r="M341" s="35" t="str">
        <f>IF(ISNA(Tableau6[[#This Row],[Position 2023]]),"",INDEX(tabSuiviConso[HP + HC
cumul],Tableau6[[#This Row],[Position 2023]],1))</f>
        <v/>
      </c>
      <c r="N341" s="56" t="e">
        <f>IF(ISNA(Tableau6[[#This Row],[Position 2023]]),Tableau6[[#This Row],[Position 2023]],Tableau6[[#This Row],[2023]]-M$2)</f>
        <v>#N/A</v>
      </c>
      <c r="O341" s="35" t="e">
        <f>Tableau6[[#This Row],[Cumul 2023]]-Tableau6[[#This Row],[Cumul 2022]]</f>
        <v>#N/A</v>
      </c>
      <c r="P341" s="37" t="e">
        <f>Tableau6[[#This Row],[Ecart 2022 2023]]/Tableau6[[#This Row],[Cumul 2022]]</f>
        <v>#N/A</v>
      </c>
      <c r="Q341" s="35">
        <f>MATCH(Tableau6[Jours Mois]&amp;"/"&amp;Tableau6[[#Headers],[2024]],tabSuiviConso[Jour Mois Année],0)</f>
        <v>2</v>
      </c>
      <c r="R341" s="35">
        <f>IF(ISNA(Tableau6[[#This Row],[Position 2024]]),"",INDEX(tabSuiviConso[HP + HC
cumul],Tableau6[[#This Row],[Position 2024]],1))</f>
        <v>61</v>
      </c>
      <c r="S341" s="56" t="e">
        <f>IF(ISNA(Tableau6[[#This Row],[Position 2024]]),Tableau6[[#This Row],[Position 2024]],Tableau6[[#This Row],[2024]]-R$2)</f>
        <v>#VALUE!</v>
      </c>
      <c r="T341" s="35" t="e">
        <f>Tableau6[[#This Row],[Cumul 2024]]-Tableau6[[#This Row],[Cumul 2023]]</f>
        <v>#VALUE!</v>
      </c>
      <c r="U341" s="36" t="e">
        <f>Tableau6[[#This Row],[Ecart 2023 2024]]/Tableau6[[#This Row],[Cumul 2023]]</f>
        <v>#VALUE!</v>
      </c>
    </row>
    <row r="342" spans="1:21" x14ac:dyDescent="0.2">
      <c r="A342" s="35">
        <v>12</v>
      </c>
      <c r="B342" s="35">
        <v>5</v>
      </c>
      <c r="C342" s="35" t="str">
        <f>Tableau6[Jour]&amp;"/"&amp;Tableau6[Mois]</f>
        <v>5/12</v>
      </c>
      <c r="D342" s="35" t="e">
        <f>MATCH(Tableau6[Jours Mois]&amp;"/"&amp;Tableau6[[#Headers],[2021]],tabSuiviConso[Jour Mois Année],0)</f>
        <v>#N/A</v>
      </c>
      <c r="E342" s="35" t="str">
        <f>IF(ISNA(Tableau6[[#This Row],[Position 2021]]),"",INDEX(tabSuiviConso[HP + HC
cumul],Tableau6[[#This Row],[Position 2021]],1))</f>
        <v/>
      </c>
      <c r="F342" s="56" t="e">
        <f>IF(ISNA(Tableau6[[#This Row],[Position 2021]]),Tableau6[[#This Row],[Position 2021]],Tableau6[[#This Row],[2021]]-E$2)</f>
        <v>#N/A</v>
      </c>
      <c r="G342" s="35" t="e">
        <f>MATCH(Tableau6[Jours Mois]&amp;"/"&amp;Tableau6[[#Headers],[2022]],tabSuiviConso[Jour Mois Année],0)</f>
        <v>#N/A</v>
      </c>
      <c r="H342" s="35" t="str">
        <f>IF(ISNA(Tableau6[[#This Row],[Position 2022]]),"",INDEX(tabSuiviConso[HP + HC
cumul],Tableau6[[#This Row],[Position 2022]],1))</f>
        <v/>
      </c>
      <c r="I342" s="56" t="e">
        <f>IF(ISNA(Tableau6[[#This Row],[Position 2022]]),Tableau6[[#This Row],[Position 2022]],Tableau6[[#This Row],[2022]]-H$2)</f>
        <v>#N/A</v>
      </c>
      <c r="J342" s="35" t="e">
        <f>MATCH(Tableau6[Jours Mois]&amp;"/"&amp;Tableau6[[#Headers],[2023]],tabSuiviConso[Jour Mois Année],0)</f>
        <v>#N/A</v>
      </c>
      <c r="K342" s="35" t="e">
        <f>Tableau6[[#This Row],[Cumul 2022]]-Tableau6[[#This Row],[Cumul 2021]]</f>
        <v>#N/A</v>
      </c>
      <c r="L342" s="37" t="e">
        <f>Tableau6[[#This Row],[Ecart 2021 2022]]/Tableau6[[#This Row],[Cumul 2021]]</f>
        <v>#N/A</v>
      </c>
      <c r="M342" s="35" t="str">
        <f>IF(ISNA(Tableau6[[#This Row],[Position 2023]]),"",INDEX(tabSuiviConso[HP + HC
cumul],Tableau6[[#This Row],[Position 2023]],1))</f>
        <v/>
      </c>
      <c r="N342" s="56" t="e">
        <f>IF(ISNA(Tableau6[[#This Row],[Position 2023]]),Tableau6[[#This Row],[Position 2023]],Tableau6[[#This Row],[2023]]-M$2)</f>
        <v>#N/A</v>
      </c>
      <c r="O342" s="35" t="e">
        <f>Tableau6[[#This Row],[Cumul 2023]]-Tableau6[[#This Row],[Cumul 2022]]</f>
        <v>#N/A</v>
      </c>
      <c r="P342" s="37" t="e">
        <f>Tableau6[[#This Row],[Ecart 2022 2023]]/Tableau6[[#This Row],[Cumul 2022]]</f>
        <v>#N/A</v>
      </c>
      <c r="Q342" s="35">
        <f>MATCH(Tableau6[Jours Mois]&amp;"/"&amp;Tableau6[[#Headers],[2024]],tabSuiviConso[Jour Mois Année],0)</f>
        <v>3</v>
      </c>
      <c r="R342" s="35">
        <f>IF(ISNA(Tableau6[[#This Row],[Position 2024]]),"",INDEX(tabSuiviConso[HP + HC
cumul],Tableau6[[#This Row],[Position 2024]],1))</f>
        <v>123</v>
      </c>
      <c r="S342" s="56" t="e">
        <f>IF(ISNA(Tableau6[[#This Row],[Position 2024]]),Tableau6[[#This Row],[Position 2024]],Tableau6[[#This Row],[2024]]-R$2)</f>
        <v>#VALUE!</v>
      </c>
      <c r="T342" s="35" t="e">
        <f>Tableau6[[#This Row],[Cumul 2024]]-Tableau6[[#This Row],[Cumul 2023]]</f>
        <v>#VALUE!</v>
      </c>
      <c r="U342" s="36" t="e">
        <f>Tableau6[[#This Row],[Ecart 2023 2024]]/Tableau6[[#This Row],[Cumul 2023]]</f>
        <v>#VALUE!</v>
      </c>
    </row>
    <row r="343" spans="1:21" x14ac:dyDescent="0.2">
      <c r="A343" s="35">
        <v>12</v>
      </c>
      <c r="B343" s="35">
        <v>6</v>
      </c>
      <c r="C343" s="35" t="str">
        <f>Tableau6[Jour]&amp;"/"&amp;Tableau6[Mois]</f>
        <v>6/12</v>
      </c>
      <c r="D343" s="35" t="e">
        <f>MATCH(Tableau6[Jours Mois]&amp;"/"&amp;Tableau6[[#Headers],[2021]],tabSuiviConso[Jour Mois Année],0)</f>
        <v>#N/A</v>
      </c>
      <c r="E343" s="35" t="str">
        <f>IF(ISNA(Tableau6[[#This Row],[Position 2021]]),"",INDEX(tabSuiviConso[HP + HC
cumul],Tableau6[[#This Row],[Position 2021]],1))</f>
        <v/>
      </c>
      <c r="F343" s="56" t="e">
        <f>IF(ISNA(Tableau6[[#This Row],[Position 2021]]),Tableau6[[#This Row],[Position 2021]],Tableau6[[#This Row],[2021]]-E$2)</f>
        <v>#N/A</v>
      </c>
      <c r="G343" s="35" t="e">
        <f>MATCH(Tableau6[Jours Mois]&amp;"/"&amp;Tableau6[[#Headers],[2022]],tabSuiviConso[Jour Mois Année],0)</f>
        <v>#N/A</v>
      </c>
      <c r="H343" s="35" t="str">
        <f>IF(ISNA(Tableau6[[#This Row],[Position 2022]]),"",INDEX(tabSuiviConso[HP + HC
cumul],Tableau6[[#This Row],[Position 2022]],1))</f>
        <v/>
      </c>
      <c r="I343" s="56" t="e">
        <f>IF(ISNA(Tableau6[[#This Row],[Position 2022]]),Tableau6[[#This Row],[Position 2022]],Tableau6[[#This Row],[2022]]-H$2)</f>
        <v>#N/A</v>
      </c>
      <c r="J343" s="35" t="e">
        <f>MATCH(Tableau6[Jours Mois]&amp;"/"&amp;Tableau6[[#Headers],[2023]],tabSuiviConso[Jour Mois Année],0)</f>
        <v>#N/A</v>
      </c>
      <c r="K343" s="35" t="e">
        <f>Tableau6[[#This Row],[Cumul 2022]]-Tableau6[[#This Row],[Cumul 2021]]</f>
        <v>#N/A</v>
      </c>
      <c r="L343" s="37" t="e">
        <f>Tableau6[[#This Row],[Ecart 2021 2022]]/Tableau6[[#This Row],[Cumul 2021]]</f>
        <v>#N/A</v>
      </c>
      <c r="M343" s="35" t="str">
        <f>IF(ISNA(Tableau6[[#This Row],[Position 2023]]),"",INDEX(tabSuiviConso[HP + HC
cumul],Tableau6[[#This Row],[Position 2023]],1))</f>
        <v/>
      </c>
      <c r="N343" s="56" t="e">
        <f>IF(ISNA(Tableau6[[#This Row],[Position 2023]]),Tableau6[[#This Row],[Position 2023]],Tableau6[[#This Row],[2023]]-M$2)</f>
        <v>#N/A</v>
      </c>
      <c r="O343" s="35" t="e">
        <f>Tableau6[[#This Row],[Cumul 2023]]-Tableau6[[#This Row],[Cumul 2022]]</f>
        <v>#N/A</v>
      </c>
      <c r="P343" s="37" t="e">
        <f>Tableau6[[#This Row],[Ecart 2022 2023]]/Tableau6[[#This Row],[Cumul 2022]]</f>
        <v>#N/A</v>
      </c>
      <c r="Q343" s="35">
        <f>MATCH(Tableau6[Jours Mois]&amp;"/"&amp;Tableau6[[#Headers],[2024]],tabSuiviConso[Jour Mois Année],0)</f>
        <v>4</v>
      </c>
      <c r="R343" s="35">
        <f>IF(ISNA(Tableau6[[#This Row],[Position 2024]]),"",INDEX(tabSuiviConso[HP + HC
cumul],Tableau6[[#This Row],[Position 2024]],1))</f>
        <v>170</v>
      </c>
      <c r="S343" s="56" t="e">
        <f>IF(ISNA(Tableau6[[#This Row],[Position 2024]]),Tableau6[[#This Row],[Position 2024]],Tableau6[[#This Row],[2024]]-R$2)</f>
        <v>#VALUE!</v>
      </c>
      <c r="T343" s="35" t="e">
        <f>Tableau6[[#This Row],[Cumul 2024]]-Tableau6[[#This Row],[Cumul 2023]]</f>
        <v>#VALUE!</v>
      </c>
      <c r="U343" s="36" t="e">
        <f>Tableau6[[#This Row],[Ecart 2023 2024]]/Tableau6[[#This Row],[Cumul 2023]]</f>
        <v>#VALUE!</v>
      </c>
    </row>
    <row r="344" spans="1:21" x14ac:dyDescent="0.2">
      <c r="A344" s="35">
        <v>12</v>
      </c>
      <c r="B344" s="35">
        <v>7</v>
      </c>
      <c r="C344" s="35" t="str">
        <f>Tableau6[Jour]&amp;"/"&amp;Tableau6[Mois]</f>
        <v>7/12</v>
      </c>
      <c r="D344" s="35" t="e">
        <f>MATCH(Tableau6[Jours Mois]&amp;"/"&amp;Tableau6[[#Headers],[2021]],tabSuiviConso[Jour Mois Année],0)</f>
        <v>#N/A</v>
      </c>
      <c r="E344" s="35" t="str">
        <f>IF(ISNA(Tableau6[[#This Row],[Position 2021]]),"",INDEX(tabSuiviConso[HP + HC
cumul],Tableau6[[#This Row],[Position 2021]],1))</f>
        <v/>
      </c>
      <c r="F344" s="56" t="e">
        <f>IF(ISNA(Tableau6[[#This Row],[Position 2021]]),Tableau6[[#This Row],[Position 2021]],Tableau6[[#This Row],[2021]]-E$2)</f>
        <v>#N/A</v>
      </c>
      <c r="G344" s="35" t="e">
        <f>MATCH(Tableau6[Jours Mois]&amp;"/"&amp;Tableau6[[#Headers],[2022]],tabSuiviConso[Jour Mois Année],0)</f>
        <v>#N/A</v>
      </c>
      <c r="H344" s="35" t="str">
        <f>IF(ISNA(Tableau6[[#This Row],[Position 2022]]),"",INDEX(tabSuiviConso[HP + HC
cumul],Tableau6[[#This Row],[Position 2022]],1))</f>
        <v/>
      </c>
      <c r="I344" s="56" t="e">
        <f>IF(ISNA(Tableau6[[#This Row],[Position 2022]]),Tableau6[[#This Row],[Position 2022]],Tableau6[[#This Row],[2022]]-H$2)</f>
        <v>#N/A</v>
      </c>
      <c r="J344" s="35" t="e">
        <f>MATCH(Tableau6[Jours Mois]&amp;"/"&amp;Tableau6[[#Headers],[2023]],tabSuiviConso[Jour Mois Année],0)</f>
        <v>#N/A</v>
      </c>
      <c r="K344" s="35" t="e">
        <f>Tableau6[[#This Row],[Cumul 2022]]-Tableau6[[#This Row],[Cumul 2021]]</f>
        <v>#N/A</v>
      </c>
      <c r="L344" s="37" t="e">
        <f>Tableau6[[#This Row],[Ecart 2021 2022]]/Tableau6[[#This Row],[Cumul 2021]]</f>
        <v>#N/A</v>
      </c>
      <c r="M344" s="35" t="str">
        <f>IF(ISNA(Tableau6[[#This Row],[Position 2023]]),"",INDEX(tabSuiviConso[HP + HC
cumul],Tableau6[[#This Row],[Position 2023]],1))</f>
        <v/>
      </c>
      <c r="N344" s="56" t="e">
        <f>IF(ISNA(Tableau6[[#This Row],[Position 2023]]),Tableau6[[#This Row],[Position 2023]],Tableau6[[#This Row],[2023]]-M$2)</f>
        <v>#N/A</v>
      </c>
      <c r="O344" s="35" t="e">
        <f>Tableau6[[#This Row],[Cumul 2023]]-Tableau6[[#This Row],[Cumul 2022]]</f>
        <v>#N/A</v>
      </c>
      <c r="P344" s="37" t="e">
        <f>Tableau6[[#This Row],[Ecart 2022 2023]]/Tableau6[[#This Row],[Cumul 2022]]</f>
        <v>#N/A</v>
      </c>
      <c r="Q344" s="35">
        <f>MATCH(Tableau6[Jours Mois]&amp;"/"&amp;Tableau6[[#Headers],[2024]],tabSuiviConso[Jour Mois Année],0)</f>
        <v>5</v>
      </c>
      <c r="R344" s="35">
        <f>IF(ISNA(Tableau6[[#This Row],[Position 2024]]),"",INDEX(tabSuiviConso[HP + HC
cumul],Tableau6[[#This Row],[Position 2024]],1))</f>
        <v>204</v>
      </c>
      <c r="S344" s="56" t="e">
        <f>IF(ISNA(Tableau6[[#This Row],[Position 2024]]),Tableau6[[#This Row],[Position 2024]],Tableau6[[#This Row],[2024]]-R$2)</f>
        <v>#VALUE!</v>
      </c>
      <c r="T344" s="35" t="e">
        <f>Tableau6[[#This Row],[Cumul 2024]]-Tableau6[[#This Row],[Cumul 2023]]</f>
        <v>#VALUE!</v>
      </c>
      <c r="U344" s="36" t="e">
        <f>Tableau6[[#This Row],[Ecart 2023 2024]]/Tableau6[[#This Row],[Cumul 2023]]</f>
        <v>#VALUE!</v>
      </c>
    </row>
    <row r="345" spans="1:21" x14ac:dyDescent="0.2">
      <c r="A345" s="35">
        <v>12</v>
      </c>
      <c r="B345" s="35">
        <v>8</v>
      </c>
      <c r="C345" s="35" t="str">
        <f>Tableau6[Jour]&amp;"/"&amp;Tableau6[Mois]</f>
        <v>8/12</v>
      </c>
      <c r="D345" s="35" t="e">
        <f>MATCH(Tableau6[Jours Mois]&amp;"/"&amp;Tableau6[[#Headers],[2021]],tabSuiviConso[Jour Mois Année],0)</f>
        <v>#N/A</v>
      </c>
      <c r="E345" s="35" t="str">
        <f>IF(ISNA(Tableau6[[#This Row],[Position 2021]]),"",INDEX(tabSuiviConso[HP + HC
cumul],Tableau6[[#This Row],[Position 2021]],1))</f>
        <v/>
      </c>
      <c r="F345" s="56" t="e">
        <f>IF(ISNA(Tableau6[[#This Row],[Position 2021]]),Tableau6[[#This Row],[Position 2021]],Tableau6[[#This Row],[2021]]-E$2)</f>
        <v>#N/A</v>
      </c>
      <c r="G345" s="35" t="e">
        <f>MATCH(Tableau6[Jours Mois]&amp;"/"&amp;Tableau6[[#Headers],[2022]],tabSuiviConso[Jour Mois Année],0)</f>
        <v>#N/A</v>
      </c>
      <c r="H345" s="35" t="str">
        <f>IF(ISNA(Tableau6[[#This Row],[Position 2022]]),"",INDEX(tabSuiviConso[HP + HC
cumul],Tableau6[[#This Row],[Position 2022]],1))</f>
        <v/>
      </c>
      <c r="I345" s="56" t="e">
        <f>IF(ISNA(Tableau6[[#This Row],[Position 2022]]),Tableau6[[#This Row],[Position 2022]],Tableau6[[#This Row],[2022]]-H$2)</f>
        <v>#N/A</v>
      </c>
      <c r="J345" s="35" t="e">
        <f>MATCH(Tableau6[Jours Mois]&amp;"/"&amp;Tableau6[[#Headers],[2023]],tabSuiviConso[Jour Mois Année],0)</f>
        <v>#N/A</v>
      </c>
      <c r="K345" s="35" t="e">
        <f>Tableau6[[#This Row],[Cumul 2022]]-Tableau6[[#This Row],[Cumul 2021]]</f>
        <v>#N/A</v>
      </c>
      <c r="L345" s="37" t="e">
        <f>Tableau6[[#This Row],[Ecart 2021 2022]]/Tableau6[[#This Row],[Cumul 2021]]</f>
        <v>#N/A</v>
      </c>
      <c r="M345" s="35" t="str">
        <f>IF(ISNA(Tableau6[[#This Row],[Position 2023]]),"",INDEX(tabSuiviConso[HP + HC
cumul],Tableau6[[#This Row],[Position 2023]],1))</f>
        <v/>
      </c>
      <c r="N345" s="56" t="e">
        <f>IF(ISNA(Tableau6[[#This Row],[Position 2023]]),Tableau6[[#This Row],[Position 2023]],Tableau6[[#This Row],[2023]]-M$2)</f>
        <v>#N/A</v>
      </c>
      <c r="O345" s="35" t="e">
        <f>Tableau6[[#This Row],[Cumul 2023]]-Tableau6[[#This Row],[Cumul 2022]]</f>
        <v>#N/A</v>
      </c>
      <c r="P345" s="37" t="e">
        <f>Tableau6[[#This Row],[Ecart 2022 2023]]/Tableau6[[#This Row],[Cumul 2022]]</f>
        <v>#N/A</v>
      </c>
      <c r="Q345" s="35">
        <f>MATCH(Tableau6[Jours Mois]&amp;"/"&amp;Tableau6[[#Headers],[2024]],tabSuiviConso[Jour Mois Année],0)</f>
        <v>6</v>
      </c>
      <c r="R345" s="35">
        <f>IF(ISNA(Tableau6[[#This Row],[Position 2024]]),"",INDEX(tabSuiviConso[HP + HC
cumul],Tableau6[[#This Row],[Position 2024]],1))</f>
        <v>275</v>
      </c>
      <c r="S345" s="56" t="e">
        <f>IF(ISNA(Tableau6[[#This Row],[Position 2024]]),Tableau6[[#This Row],[Position 2024]],Tableau6[[#This Row],[2024]]-R$2)</f>
        <v>#VALUE!</v>
      </c>
      <c r="T345" s="35" t="e">
        <f>Tableau6[[#This Row],[Cumul 2024]]-Tableau6[[#This Row],[Cumul 2023]]</f>
        <v>#VALUE!</v>
      </c>
      <c r="U345" s="36" t="e">
        <f>Tableau6[[#This Row],[Ecart 2023 2024]]/Tableau6[[#This Row],[Cumul 2023]]</f>
        <v>#VALUE!</v>
      </c>
    </row>
    <row r="346" spans="1:21" x14ac:dyDescent="0.2">
      <c r="A346" s="35">
        <v>12</v>
      </c>
      <c r="B346" s="35">
        <v>9</v>
      </c>
      <c r="C346" s="35" t="str">
        <f>Tableau6[Jour]&amp;"/"&amp;Tableau6[Mois]</f>
        <v>9/12</v>
      </c>
      <c r="D346" s="35" t="e">
        <f>MATCH(Tableau6[Jours Mois]&amp;"/"&amp;Tableau6[[#Headers],[2021]],tabSuiviConso[Jour Mois Année],0)</f>
        <v>#N/A</v>
      </c>
      <c r="E346" s="35" t="str">
        <f>IF(ISNA(Tableau6[[#This Row],[Position 2021]]),"",INDEX(tabSuiviConso[HP + HC
cumul],Tableau6[[#This Row],[Position 2021]],1))</f>
        <v/>
      </c>
      <c r="F346" s="56" t="e">
        <f>IF(ISNA(Tableau6[[#This Row],[Position 2021]]),Tableau6[[#This Row],[Position 2021]],Tableau6[[#This Row],[2021]]-E$2)</f>
        <v>#N/A</v>
      </c>
      <c r="G346" s="35" t="e">
        <f>MATCH(Tableau6[Jours Mois]&amp;"/"&amp;Tableau6[[#Headers],[2022]],tabSuiviConso[Jour Mois Année],0)</f>
        <v>#N/A</v>
      </c>
      <c r="H346" s="35" t="str">
        <f>IF(ISNA(Tableau6[[#This Row],[Position 2022]]),"",INDEX(tabSuiviConso[HP + HC
cumul],Tableau6[[#This Row],[Position 2022]],1))</f>
        <v/>
      </c>
      <c r="I346" s="56" t="e">
        <f>IF(ISNA(Tableau6[[#This Row],[Position 2022]]),Tableau6[[#This Row],[Position 2022]],Tableau6[[#This Row],[2022]]-H$2)</f>
        <v>#N/A</v>
      </c>
      <c r="J346" s="35" t="e">
        <f>MATCH(Tableau6[Jours Mois]&amp;"/"&amp;Tableau6[[#Headers],[2023]],tabSuiviConso[Jour Mois Année],0)</f>
        <v>#N/A</v>
      </c>
      <c r="K346" s="35" t="e">
        <f>Tableau6[[#This Row],[Cumul 2022]]-Tableau6[[#This Row],[Cumul 2021]]</f>
        <v>#N/A</v>
      </c>
      <c r="L346" s="37" t="e">
        <f>Tableau6[[#This Row],[Ecart 2021 2022]]/Tableau6[[#This Row],[Cumul 2021]]</f>
        <v>#N/A</v>
      </c>
      <c r="M346" s="35" t="str">
        <f>IF(ISNA(Tableau6[[#This Row],[Position 2023]]),"",INDEX(tabSuiviConso[HP + HC
cumul],Tableau6[[#This Row],[Position 2023]],1))</f>
        <v/>
      </c>
      <c r="N346" s="56" t="e">
        <f>IF(ISNA(Tableau6[[#This Row],[Position 2023]]),Tableau6[[#This Row],[Position 2023]],Tableau6[[#This Row],[2023]]-M$2)</f>
        <v>#N/A</v>
      </c>
      <c r="O346" s="35" t="e">
        <f>Tableau6[[#This Row],[Cumul 2023]]-Tableau6[[#This Row],[Cumul 2022]]</f>
        <v>#N/A</v>
      </c>
      <c r="P346" s="37" t="e">
        <f>Tableau6[[#This Row],[Ecart 2022 2023]]/Tableau6[[#This Row],[Cumul 2022]]</f>
        <v>#N/A</v>
      </c>
      <c r="Q346" s="35">
        <f>MATCH(Tableau6[Jours Mois]&amp;"/"&amp;Tableau6[[#Headers],[2024]],tabSuiviConso[Jour Mois Année],0)</f>
        <v>7</v>
      </c>
      <c r="R346" s="35">
        <f>IF(ISNA(Tableau6[[#This Row],[Position 2024]]),"",INDEX(tabSuiviConso[HP + HC
cumul],Tableau6[[#This Row],[Position 2024]],1))</f>
        <v>327</v>
      </c>
      <c r="S346" s="56" t="e">
        <f>IF(ISNA(Tableau6[[#This Row],[Position 2024]]),Tableau6[[#This Row],[Position 2024]],Tableau6[[#This Row],[2024]]-R$2)</f>
        <v>#VALUE!</v>
      </c>
      <c r="T346" s="35" t="e">
        <f>Tableau6[[#This Row],[Cumul 2024]]-Tableau6[[#This Row],[Cumul 2023]]</f>
        <v>#VALUE!</v>
      </c>
      <c r="U346" s="36" t="e">
        <f>Tableau6[[#This Row],[Ecart 2023 2024]]/Tableau6[[#This Row],[Cumul 2023]]</f>
        <v>#VALUE!</v>
      </c>
    </row>
    <row r="347" spans="1:21" x14ac:dyDescent="0.2">
      <c r="A347" s="35">
        <v>12</v>
      </c>
      <c r="B347" s="35">
        <v>10</v>
      </c>
      <c r="C347" s="35" t="str">
        <f>Tableau6[Jour]&amp;"/"&amp;Tableau6[Mois]</f>
        <v>10/12</v>
      </c>
      <c r="D347" s="35" t="e">
        <f>MATCH(Tableau6[Jours Mois]&amp;"/"&amp;Tableau6[[#Headers],[2021]],tabSuiviConso[Jour Mois Année],0)</f>
        <v>#N/A</v>
      </c>
      <c r="E347" s="35" t="str">
        <f>IF(ISNA(Tableau6[[#This Row],[Position 2021]]),"",INDEX(tabSuiviConso[HP + HC
cumul],Tableau6[[#This Row],[Position 2021]],1))</f>
        <v/>
      </c>
      <c r="F347" s="56" t="e">
        <f>IF(ISNA(Tableau6[[#This Row],[Position 2021]]),Tableau6[[#This Row],[Position 2021]],Tableau6[[#This Row],[2021]]-E$2)</f>
        <v>#N/A</v>
      </c>
      <c r="G347" s="35" t="e">
        <f>MATCH(Tableau6[Jours Mois]&amp;"/"&amp;Tableau6[[#Headers],[2022]],tabSuiviConso[Jour Mois Année],0)</f>
        <v>#N/A</v>
      </c>
      <c r="H347" s="35" t="str">
        <f>IF(ISNA(Tableau6[[#This Row],[Position 2022]]),"",INDEX(tabSuiviConso[HP + HC
cumul],Tableau6[[#This Row],[Position 2022]],1))</f>
        <v/>
      </c>
      <c r="I347" s="56" t="e">
        <f>IF(ISNA(Tableau6[[#This Row],[Position 2022]]),Tableau6[[#This Row],[Position 2022]],Tableau6[[#This Row],[2022]]-H$2)</f>
        <v>#N/A</v>
      </c>
      <c r="J347" s="35" t="e">
        <f>MATCH(Tableau6[Jours Mois]&amp;"/"&amp;Tableau6[[#Headers],[2023]],tabSuiviConso[Jour Mois Année],0)</f>
        <v>#N/A</v>
      </c>
      <c r="K347" s="35" t="e">
        <f>Tableau6[[#This Row],[Cumul 2022]]-Tableau6[[#This Row],[Cumul 2021]]</f>
        <v>#N/A</v>
      </c>
      <c r="L347" s="37" t="e">
        <f>Tableau6[[#This Row],[Ecart 2021 2022]]/Tableau6[[#This Row],[Cumul 2021]]</f>
        <v>#N/A</v>
      </c>
      <c r="M347" s="35" t="str">
        <f>IF(ISNA(Tableau6[[#This Row],[Position 2023]]),"",INDEX(tabSuiviConso[HP + HC
cumul],Tableau6[[#This Row],[Position 2023]],1))</f>
        <v/>
      </c>
      <c r="N347" s="56" t="e">
        <f>IF(ISNA(Tableau6[[#This Row],[Position 2023]]),Tableau6[[#This Row],[Position 2023]],Tableau6[[#This Row],[2023]]-M$2)</f>
        <v>#N/A</v>
      </c>
      <c r="O347" s="35" t="e">
        <f>Tableau6[[#This Row],[Cumul 2023]]-Tableau6[[#This Row],[Cumul 2022]]</f>
        <v>#N/A</v>
      </c>
      <c r="P347" s="37" t="e">
        <f>Tableau6[[#This Row],[Ecart 2022 2023]]/Tableau6[[#This Row],[Cumul 2022]]</f>
        <v>#N/A</v>
      </c>
      <c r="Q347" s="35">
        <f>MATCH(Tableau6[Jours Mois]&amp;"/"&amp;Tableau6[[#Headers],[2024]],tabSuiviConso[Jour Mois Année],0)</f>
        <v>8</v>
      </c>
      <c r="R347" s="35">
        <f>IF(ISNA(Tableau6[[#This Row],[Position 2024]]),"",INDEX(tabSuiviConso[HP + HC
cumul],Tableau6[[#This Row],[Position 2024]],1))</f>
        <v>393</v>
      </c>
      <c r="S347" s="56" t="e">
        <f>IF(ISNA(Tableau6[[#This Row],[Position 2024]]),Tableau6[[#This Row],[Position 2024]],Tableau6[[#This Row],[2024]]-R$2)</f>
        <v>#VALUE!</v>
      </c>
      <c r="T347" s="35" t="e">
        <f>Tableau6[[#This Row],[Cumul 2024]]-Tableau6[[#This Row],[Cumul 2023]]</f>
        <v>#VALUE!</v>
      </c>
      <c r="U347" s="36" t="e">
        <f>Tableau6[[#This Row],[Ecart 2023 2024]]/Tableau6[[#This Row],[Cumul 2023]]</f>
        <v>#VALUE!</v>
      </c>
    </row>
    <row r="348" spans="1:21" x14ac:dyDescent="0.2">
      <c r="A348" s="35">
        <v>12</v>
      </c>
      <c r="B348" s="35">
        <v>11</v>
      </c>
      <c r="C348" s="35" t="str">
        <f>Tableau6[Jour]&amp;"/"&amp;Tableau6[Mois]</f>
        <v>11/12</v>
      </c>
      <c r="D348" s="35" t="e">
        <f>MATCH(Tableau6[Jours Mois]&amp;"/"&amp;Tableau6[[#Headers],[2021]],tabSuiviConso[Jour Mois Année],0)</f>
        <v>#N/A</v>
      </c>
      <c r="E348" s="35" t="str">
        <f>IF(ISNA(Tableau6[[#This Row],[Position 2021]]),"",INDEX(tabSuiviConso[HP + HC
cumul],Tableau6[[#This Row],[Position 2021]],1))</f>
        <v/>
      </c>
      <c r="F348" s="56" t="e">
        <f>IF(ISNA(Tableau6[[#This Row],[Position 2021]]),Tableau6[[#This Row],[Position 2021]],Tableau6[[#This Row],[2021]]-E$2)</f>
        <v>#N/A</v>
      </c>
      <c r="G348" s="35" t="e">
        <f>MATCH(Tableau6[Jours Mois]&amp;"/"&amp;Tableau6[[#Headers],[2022]],tabSuiviConso[Jour Mois Année],0)</f>
        <v>#N/A</v>
      </c>
      <c r="H348" s="35" t="str">
        <f>IF(ISNA(Tableau6[[#This Row],[Position 2022]]),"",INDEX(tabSuiviConso[HP + HC
cumul],Tableau6[[#This Row],[Position 2022]],1))</f>
        <v/>
      </c>
      <c r="I348" s="56" t="e">
        <f>IF(ISNA(Tableau6[[#This Row],[Position 2022]]),Tableau6[[#This Row],[Position 2022]],Tableau6[[#This Row],[2022]]-H$2)</f>
        <v>#N/A</v>
      </c>
      <c r="J348" s="35" t="e">
        <f>MATCH(Tableau6[Jours Mois]&amp;"/"&amp;Tableau6[[#Headers],[2023]],tabSuiviConso[Jour Mois Année],0)</f>
        <v>#N/A</v>
      </c>
      <c r="K348" s="35" t="e">
        <f>Tableau6[[#This Row],[Cumul 2022]]-Tableau6[[#This Row],[Cumul 2021]]</f>
        <v>#N/A</v>
      </c>
      <c r="L348" s="37" t="e">
        <f>Tableau6[[#This Row],[Ecart 2021 2022]]/Tableau6[[#This Row],[Cumul 2021]]</f>
        <v>#N/A</v>
      </c>
      <c r="M348" s="35" t="str">
        <f>IF(ISNA(Tableau6[[#This Row],[Position 2023]]),"",INDEX(tabSuiviConso[HP + HC
cumul],Tableau6[[#This Row],[Position 2023]],1))</f>
        <v/>
      </c>
      <c r="N348" s="56" t="e">
        <f>IF(ISNA(Tableau6[[#This Row],[Position 2023]]),Tableau6[[#This Row],[Position 2023]],Tableau6[[#This Row],[2023]]-M$2)</f>
        <v>#N/A</v>
      </c>
      <c r="O348" s="35" t="e">
        <f>Tableau6[[#This Row],[Cumul 2023]]-Tableau6[[#This Row],[Cumul 2022]]</f>
        <v>#N/A</v>
      </c>
      <c r="P348" s="37" t="e">
        <f>Tableau6[[#This Row],[Ecart 2022 2023]]/Tableau6[[#This Row],[Cumul 2022]]</f>
        <v>#N/A</v>
      </c>
      <c r="Q348" s="35">
        <f>MATCH(Tableau6[Jours Mois]&amp;"/"&amp;Tableau6[[#Headers],[2024]],tabSuiviConso[Jour Mois Année],0)</f>
        <v>9</v>
      </c>
      <c r="R348" s="35">
        <f>IF(ISNA(Tableau6[[#This Row],[Position 2024]]),"",INDEX(tabSuiviConso[HP + HC
cumul],Tableau6[[#This Row],[Position 2024]],1))</f>
        <v>459</v>
      </c>
      <c r="S348" s="56" t="e">
        <f>IF(ISNA(Tableau6[[#This Row],[Position 2024]]),Tableau6[[#This Row],[Position 2024]],Tableau6[[#This Row],[2024]]-R$2)</f>
        <v>#VALUE!</v>
      </c>
      <c r="T348" s="35" t="e">
        <f>Tableau6[[#This Row],[Cumul 2024]]-Tableau6[[#This Row],[Cumul 2023]]</f>
        <v>#VALUE!</v>
      </c>
      <c r="U348" s="36" t="e">
        <f>Tableau6[[#This Row],[Ecart 2023 2024]]/Tableau6[[#This Row],[Cumul 2023]]</f>
        <v>#VALUE!</v>
      </c>
    </row>
    <row r="349" spans="1:21" x14ac:dyDescent="0.2">
      <c r="A349" s="35">
        <v>12</v>
      </c>
      <c r="B349" s="35">
        <v>12</v>
      </c>
      <c r="C349" s="35" t="str">
        <f>Tableau6[Jour]&amp;"/"&amp;Tableau6[Mois]</f>
        <v>12/12</v>
      </c>
      <c r="D349" s="35" t="e">
        <f>MATCH(Tableau6[Jours Mois]&amp;"/"&amp;Tableau6[[#Headers],[2021]],tabSuiviConso[Jour Mois Année],0)</f>
        <v>#N/A</v>
      </c>
      <c r="E349" s="35" t="str">
        <f>IF(ISNA(Tableau6[[#This Row],[Position 2021]]),"",INDEX(tabSuiviConso[HP + HC
cumul],Tableau6[[#This Row],[Position 2021]],1))</f>
        <v/>
      </c>
      <c r="F349" s="56" t="e">
        <f>IF(ISNA(Tableau6[[#This Row],[Position 2021]]),Tableau6[[#This Row],[Position 2021]],Tableau6[[#This Row],[2021]]-E$2)</f>
        <v>#N/A</v>
      </c>
      <c r="G349" s="35" t="e">
        <f>MATCH(Tableau6[Jours Mois]&amp;"/"&amp;Tableau6[[#Headers],[2022]],tabSuiviConso[Jour Mois Année],0)</f>
        <v>#N/A</v>
      </c>
      <c r="H349" s="35" t="str">
        <f>IF(ISNA(Tableau6[[#This Row],[Position 2022]]),"",INDEX(tabSuiviConso[HP + HC
cumul],Tableau6[[#This Row],[Position 2022]],1))</f>
        <v/>
      </c>
      <c r="I349" s="56" t="e">
        <f>IF(ISNA(Tableau6[[#This Row],[Position 2022]]),Tableau6[[#This Row],[Position 2022]],Tableau6[[#This Row],[2022]]-H$2)</f>
        <v>#N/A</v>
      </c>
      <c r="J349" s="35" t="e">
        <f>MATCH(Tableau6[Jours Mois]&amp;"/"&amp;Tableau6[[#Headers],[2023]],tabSuiviConso[Jour Mois Année],0)</f>
        <v>#N/A</v>
      </c>
      <c r="K349" s="35" t="e">
        <f>Tableau6[[#This Row],[Cumul 2022]]-Tableau6[[#This Row],[Cumul 2021]]</f>
        <v>#N/A</v>
      </c>
      <c r="L349" s="37" t="e">
        <f>Tableau6[[#This Row],[Ecart 2021 2022]]/Tableau6[[#This Row],[Cumul 2021]]</f>
        <v>#N/A</v>
      </c>
      <c r="M349" s="35" t="str">
        <f>IF(ISNA(Tableau6[[#This Row],[Position 2023]]),"",INDEX(tabSuiviConso[HP + HC
cumul],Tableau6[[#This Row],[Position 2023]],1))</f>
        <v/>
      </c>
      <c r="N349" s="56" t="e">
        <f>IF(ISNA(Tableau6[[#This Row],[Position 2023]]),Tableau6[[#This Row],[Position 2023]],Tableau6[[#This Row],[2023]]-M$2)</f>
        <v>#N/A</v>
      </c>
      <c r="O349" s="35" t="e">
        <f>Tableau6[[#This Row],[Cumul 2023]]-Tableau6[[#This Row],[Cumul 2022]]</f>
        <v>#N/A</v>
      </c>
      <c r="P349" s="37" t="e">
        <f>Tableau6[[#This Row],[Ecart 2022 2023]]/Tableau6[[#This Row],[Cumul 2022]]</f>
        <v>#N/A</v>
      </c>
      <c r="Q349" s="35">
        <f>MATCH(Tableau6[Jours Mois]&amp;"/"&amp;Tableau6[[#Headers],[2024]],tabSuiviConso[Jour Mois Année],0)</f>
        <v>10</v>
      </c>
      <c r="R349" s="35">
        <f>IF(ISNA(Tableau6[[#This Row],[Position 2024]]),"",INDEX(tabSuiviConso[HP + HC
cumul],Tableau6[[#This Row],[Position 2024]],1))</f>
        <v>532</v>
      </c>
      <c r="S349" s="56" t="e">
        <f>IF(ISNA(Tableau6[[#This Row],[Position 2024]]),Tableau6[[#This Row],[Position 2024]],Tableau6[[#This Row],[2024]]-R$2)</f>
        <v>#VALUE!</v>
      </c>
      <c r="T349" s="35" t="e">
        <f>Tableau6[[#This Row],[Cumul 2024]]-Tableau6[[#This Row],[Cumul 2023]]</f>
        <v>#VALUE!</v>
      </c>
      <c r="U349" s="36" t="e">
        <f>Tableau6[[#This Row],[Ecart 2023 2024]]/Tableau6[[#This Row],[Cumul 2023]]</f>
        <v>#VALUE!</v>
      </c>
    </row>
    <row r="350" spans="1:21" x14ac:dyDescent="0.2">
      <c r="A350" s="35">
        <v>12</v>
      </c>
      <c r="B350" s="35">
        <v>13</v>
      </c>
      <c r="C350" s="35" t="str">
        <f>Tableau6[Jour]&amp;"/"&amp;Tableau6[Mois]</f>
        <v>13/12</v>
      </c>
      <c r="D350" s="35" t="e">
        <f>MATCH(Tableau6[Jours Mois]&amp;"/"&amp;Tableau6[[#Headers],[2021]],tabSuiviConso[Jour Mois Année],0)</f>
        <v>#N/A</v>
      </c>
      <c r="E350" s="35" t="str">
        <f>IF(ISNA(Tableau6[[#This Row],[Position 2021]]),"",INDEX(tabSuiviConso[HP + HC
cumul],Tableau6[[#This Row],[Position 2021]],1))</f>
        <v/>
      </c>
      <c r="F350" s="56" t="e">
        <f>IF(ISNA(Tableau6[[#This Row],[Position 2021]]),Tableau6[[#This Row],[Position 2021]],Tableau6[[#This Row],[2021]]-E$2)</f>
        <v>#N/A</v>
      </c>
      <c r="G350" s="35" t="e">
        <f>MATCH(Tableau6[Jours Mois]&amp;"/"&amp;Tableau6[[#Headers],[2022]],tabSuiviConso[Jour Mois Année],0)</f>
        <v>#N/A</v>
      </c>
      <c r="H350" s="35" t="str">
        <f>IF(ISNA(Tableau6[[#This Row],[Position 2022]]),"",INDEX(tabSuiviConso[HP + HC
cumul],Tableau6[[#This Row],[Position 2022]],1))</f>
        <v/>
      </c>
      <c r="I350" s="56" t="e">
        <f>IF(ISNA(Tableau6[[#This Row],[Position 2022]]),Tableau6[[#This Row],[Position 2022]],Tableau6[[#This Row],[2022]]-H$2)</f>
        <v>#N/A</v>
      </c>
      <c r="J350" s="35" t="e">
        <f>MATCH(Tableau6[Jours Mois]&amp;"/"&amp;Tableau6[[#Headers],[2023]],tabSuiviConso[Jour Mois Année],0)</f>
        <v>#N/A</v>
      </c>
      <c r="K350" s="35" t="e">
        <f>Tableau6[[#This Row],[Cumul 2022]]-Tableau6[[#This Row],[Cumul 2021]]</f>
        <v>#N/A</v>
      </c>
      <c r="L350" s="37" t="e">
        <f>Tableau6[[#This Row],[Ecart 2021 2022]]/Tableau6[[#This Row],[Cumul 2021]]</f>
        <v>#N/A</v>
      </c>
      <c r="M350" s="35" t="str">
        <f>IF(ISNA(Tableau6[[#This Row],[Position 2023]]),"",INDEX(tabSuiviConso[HP + HC
cumul],Tableau6[[#This Row],[Position 2023]],1))</f>
        <v/>
      </c>
      <c r="N350" s="56" t="e">
        <f>IF(ISNA(Tableau6[[#This Row],[Position 2023]]),Tableau6[[#This Row],[Position 2023]],Tableau6[[#This Row],[2023]]-M$2)</f>
        <v>#N/A</v>
      </c>
      <c r="O350" s="35" t="e">
        <f>Tableau6[[#This Row],[Cumul 2023]]-Tableau6[[#This Row],[Cumul 2022]]</f>
        <v>#N/A</v>
      </c>
      <c r="P350" s="37" t="e">
        <f>Tableau6[[#This Row],[Ecart 2022 2023]]/Tableau6[[#This Row],[Cumul 2022]]</f>
        <v>#N/A</v>
      </c>
      <c r="Q350" s="35">
        <f>MATCH(Tableau6[Jours Mois]&amp;"/"&amp;Tableau6[[#Headers],[2024]],tabSuiviConso[Jour Mois Année],0)</f>
        <v>11</v>
      </c>
      <c r="R350" s="35">
        <f>IF(ISNA(Tableau6[[#This Row],[Position 2024]]),"",INDEX(tabSuiviConso[HP + HC
cumul],Tableau6[[#This Row],[Position 2024]],1))</f>
        <v>607</v>
      </c>
      <c r="S350" s="56" t="e">
        <f>IF(ISNA(Tableau6[[#This Row],[Position 2024]]),Tableau6[[#This Row],[Position 2024]],Tableau6[[#This Row],[2024]]-R$2)</f>
        <v>#VALUE!</v>
      </c>
      <c r="T350" s="35" t="e">
        <f>Tableau6[[#This Row],[Cumul 2024]]-Tableau6[[#This Row],[Cumul 2023]]</f>
        <v>#VALUE!</v>
      </c>
      <c r="U350" s="36" t="e">
        <f>Tableau6[[#This Row],[Ecart 2023 2024]]/Tableau6[[#This Row],[Cumul 2023]]</f>
        <v>#VALUE!</v>
      </c>
    </row>
    <row r="351" spans="1:21" x14ac:dyDescent="0.2">
      <c r="A351" s="35">
        <v>12</v>
      </c>
      <c r="B351" s="35">
        <v>14</v>
      </c>
      <c r="C351" s="35" t="str">
        <f>Tableau6[Jour]&amp;"/"&amp;Tableau6[Mois]</f>
        <v>14/12</v>
      </c>
      <c r="D351" s="35" t="e">
        <f>MATCH(Tableau6[Jours Mois]&amp;"/"&amp;Tableau6[[#Headers],[2021]],tabSuiviConso[Jour Mois Année],0)</f>
        <v>#N/A</v>
      </c>
      <c r="E351" s="35" t="str">
        <f>IF(ISNA(Tableau6[[#This Row],[Position 2021]]),"",INDEX(tabSuiviConso[HP + HC
cumul],Tableau6[[#This Row],[Position 2021]],1))</f>
        <v/>
      </c>
      <c r="F351" s="56" t="e">
        <f>IF(ISNA(Tableau6[[#This Row],[Position 2021]]),Tableau6[[#This Row],[Position 2021]],Tableau6[[#This Row],[2021]]-E$2)</f>
        <v>#N/A</v>
      </c>
      <c r="G351" s="35" t="e">
        <f>MATCH(Tableau6[Jours Mois]&amp;"/"&amp;Tableau6[[#Headers],[2022]],tabSuiviConso[Jour Mois Année],0)</f>
        <v>#N/A</v>
      </c>
      <c r="H351" s="35" t="str">
        <f>IF(ISNA(Tableau6[[#This Row],[Position 2022]]),"",INDEX(tabSuiviConso[HP + HC
cumul],Tableau6[[#This Row],[Position 2022]],1))</f>
        <v/>
      </c>
      <c r="I351" s="56" t="e">
        <f>IF(ISNA(Tableau6[[#This Row],[Position 2022]]),Tableau6[[#This Row],[Position 2022]],Tableau6[[#This Row],[2022]]-H$2)</f>
        <v>#N/A</v>
      </c>
      <c r="J351" s="35" t="e">
        <f>MATCH(Tableau6[Jours Mois]&amp;"/"&amp;Tableau6[[#Headers],[2023]],tabSuiviConso[Jour Mois Année],0)</f>
        <v>#N/A</v>
      </c>
      <c r="K351" s="35" t="e">
        <f>Tableau6[[#This Row],[Cumul 2022]]-Tableau6[[#This Row],[Cumul 2021]]</f>
        <v>#N/A</v>
      </c>
      <c r="L351" s="37" t="e">
        <f>Tableau6[[#This Row],[Ecart 2021 2022]]/Tableau6[[#This Row],[Cumul 2021]]</f>
        <v>#N/A</v>
      </c>
      <c r="M351" s="35" t="str">
        <f>IF(ISNA(Tableau6[[#This Row],[Position 2023]]),"",INDEX(tabSuiviConso[HP + HC
cumul],Tableau6[[#This Row],[Position 2023]],1))</f>
        <v/>
      </c>
      <c r="N351" s="56" t="e">
        <f>IF(ISNA(Tableau6[[#This Row],[Position 2023]]),Tableau6[[#This Row],[Position 2023]],Tableau6[[#This Row],[2023]]-M$2)</f>
        <v>#N/A</v>
      </c>
      <c r="O351" s="35" t="e">
        <f>Tableau6[[#This Row],[Cumul 2023]]-Tableau6[[#This Row],[Cumul 2022]]</f>
        <v>#N/A</v>
      </c>
      <c r="P351" s="37" t="e">
        <f>Tableau6[[#This Row],[Ecart 2022 2023]]/Tableau6[[#This Row],[Cumul 2022]]</f>
        <v>#N/A</v>
      </c>
      <c r="Q351" s="35">
        <f>MATCH(Tableau6[Jours Mois]&amp;"/"&amp;Tableau6[[#Headers],[2024]],tabSuiviConso[Jour Mois Année],0)</f>
        <v>12</v>
      </c>
      <c r="R351" s="35">
        <f>IF(ISNA(Tableau6[[#This Row],[Position 2024]]),"",INDEX(tabSuiviConso[HP + HC
cumul],Tableau6[[#This Row],[Position 2024]],1))</f>
        <v>688</v>
      </c>
      <c r="S351" s="56" t="e">
        <f>IF(ISNA(Tableau6[[#This Row],[Position 2024]]),Tableau6[[#This Row],[Position 2024]],Tableau6[[#This Row],[2024]]-R$2)</f>
        <v>#VALUE!</v>
      </c>
      <c r="T351" s="35" t="e">
        <f>Tableau6[[#This Row],[Cumul 2024]]-Tableau6[[#This Row],[Cumul 2023]]</f>
        <v>#VALUE!</v>
      </c>
      <c r="U351" s="36" t="e">
        <f>Tableau6[[#This Row],[Ecart 2023 2024]]/Tableau6[[#This Row],[Cumul 2023]]</f>
        <v>#VALUE!</v>
      </c>
    </row>
    <row r="352" spans="1:21" x14ac:dyDescent="0.2">
      <c r="A352" s="35">
        <v>12</v>
      </c>
      <c r="B352" s="35">
        <v>15</v>
      </c>
      <c r="C352" s="35" t="str">
        <f>Tableau6[Jour]&amp;"/"&amp;Tableau6[Mois]</f>
        <v>15/12</v>
      </c>
      <c r="D352" s="35" t="e">
        <f>MATCH(Tableau6[Jours Mois]&amp;"/"&amp;Tableau6[[#Headers],[2021]],tabSuiviConso[Jour Mois Année],0)</f>
        <v>#N/A</v>
      </c>
      <c r="E352" s="35" t="str">
        <f>IF(ISNA(Tableau6[[#This Row],[Position 2021]]),"",INDEX(tabSuiviConso[HP + HC
cumul],Tableau6[[#This Row],[Position 2021]],1))</f>
        <v/>
      </c>
      <c r="F352" s="56" t="e">
        <f>IF(ISNA(Tableau6[[#This Row],[Position 2021]]),Tableau6[[#This Row],[Position 2021]],Tableau6[[#This Row],[2021]]-E$2)</f>
        <v>#N/A</v>
      </c>
      <c r="G352" s="35" t="e">
        <f>MATCH(Tableau6[Jours Mois]&amp;"/"&amp;Tableau6[[#Headers],[2022]],tabSuiviConso[Jour Mois Année],0)</f>
        <v>#N/A</v>
      </c>
      <c r="H352" s="35" t="str">
        <f>IF(ISNA(Tableau6[[#This Row],[Position 2022]]),"",INDEX(tabSuiviConso[HP + HC
cumul],Tableau6[[#This Row],[Position 2022]],1))</f>
        <v/>
      </c>
      <c r="I352" s="56" t="e">
        <f>IF(ISNA(Tableau6[[#This Row],[Position 2022]]),Tableau6[[#This Row],[Position 2022]],Tableau6[[#This Row],[2022]]-H$2)</f>
        <v>#N/A</v>
      </c>
      <c r="J352" s="35" t="e">
        <f>MATCH(Tableau6[Jours Mois]&amp;"/"&amp;Tableau6[[#Headers],[2023]],tabSuiviConso[Jour Mois Année],0)</f>
        <v>#N/A</v>
      </c>
      <c r="K352" s="35" t="e">
        <f>Tableau6[[#This Row],[Cumul 2022]]-Tableau6[[#This Row],[Cumul 2021]]</f>
        <v>#N/A</v>
      </c>
      <c r="L352" s="37" t="e">
        <f>Tableau6[[#This Row],[Ecart 2021 2022]]/Tableau6[[#This Row],[Cumul 2021]]</f>
        <v>#N/A</v>
      </c>
      <c r="M352" s="35" t="str">
        <f>IF(ISNA(Tableau6[[#This Row],[Position 2023]]),"",INDEX(tabSuiviConso[HP + HC
cumul],Tableau6[[#This Row],[Position 2023]],1))</f>
        <v/>
      </c>
      <c r="N352" s="56" t="e">
        <f>IF(ISNA(Tableau6[[#This Row],[Position 2023]]),Tableau6[[#This Row],[Position 2023]],Tableau6[[#This Row],[2023]]-M$2)</f>
        <v>#N/A</v>
      </c>
      <c r="O352" s="35" t="e">
        <f>Tableau6[[#This Row],[Cumul 2023]]-Tableau6[[#This Row],[Cumul 2022]]</f>
        <v>#N/A</v>
      </c>
      <c r="P352" s="37" t="e">
        <f>Tableau6[[#This Row],[Ecart 2022 2023]]/Tableau6[[#This Row],[Cumul 2022]]</f>
        <v>#N/A</v>
      </c>
      <c r="Q352" s="35" t="e">
        <f>MATCH(Tableau6[Jours Mois]&amp;"/"&amp;Tableau6[[#Headers],[2024]],tabSuiviConso[Jour Mois Année],0)</f>
        <v>#N/A</v>
      </c>
      <c r="R352" s="35" t="str">
        <f>IF(ISNA(Tableau6[[#This Row],[Position 2024]]),"",INDEX(tabSuiviConso[HP + HC
cumul],Tableau6[[#This Row],[Position 2024]],1))</f>
        <v/>
      </c>
      <c r="S352" s="56" t="e">
        <f>IF(ISNA(Tableau6[[#This Row],[Position 2024]]),Tableau6[[#This Row],[Position 2024]],Tableau6[[#This Row],[2024]]-R$2)</f>
        <v>#N/A</v>
      </c>
      <c r="T352" s="35" t="e">
        <f>Tableau6[[#This Row],[Cumul 2024]]-Tableau6[[#This Row],[Cumul 2023]]</f>
        <v>#N/A</v>
      </c>
      <c r="U352" s="36" t="e">
        <f>Tableau6[[#This Row],[Ecart 2023 2024]]/Tableau6[[#This Row],[Cumul 2023]]</f>
        <v>#N/A</v>
      </c>
    </row>
    <row r="353" spans="1:21" x14ac:dyDescent="0.2">
      <c r="A353" s="35">
        <v>12</v>
      </c>
      <c r="B353" s="35">
        <v>16</v>
      </c>
      <c r="C353" s="35" t="str">
        <f>Tableau6[Jour]&amp;"/"&amp;Tableau6[Mois]</f>
        <v>16/12</v>
      </c>
      <c r="D353" s="35" t="e">
        <f>MATCH(Tableau6[Jours Mois]&amp;"/"&amp;Tableau6[[#Headers],[2021]],tabSuiviConso[Jour Mois Année],0)</f>
        <v>#N/A</v>
      </c>
      <c r="E353" s="35" t="str">
        <f>IF(ISNA(Tableau6[[#This Row],[Position 2021]]),"",INDEX(tabSuiviConso[HP + HC
cumul],Tableau6[[#This Row],[Position 2021]],1))</f>
        <v/>
      </c>
      <c r="F353" s="56" t="e">
        <f>IF(ISNA(Tableau6[[#This Row],[Position 2021]]),Tableau6[[#This Row],[Position 2021]],Tableau6[[#This Row],[2021]]-E$2)</f>
        <v>#N/A</v>
      </c>
      <c r="G353" s="35" t="e">
        <f>MATCH(Tableau6[Jours Mois]&amp;"/"&amp;Tableau6[[#Headers],[2022]],tabSuiviConso[Jour Mois Année],0)</f>
        <v>#N/A</v>
      </c>
      <c r="H353" s="35" t="str">
        <f>IF(ISNA(Tableau6[[#This Row],[Position 2022]]),"",INDEX(tabSuiviConso[HP + HC
cumul],Tableau6[[#This Row],[Position 2022]],1))</f>
        <v/>
      </c>
      <c r="I353" s="56" t="e">
        <f>IF(ISNA(Tableau6[[#This Row],[Position 2022]]),Tableau6[[#This Row],[Position 2022]],Tableau6[[#This Row],[2022]]-H$2)</f>
        <v>#N/A</v>
      </c>
      <c r="J353" s="35" t="e">
        <f>MATCH(Tableau6[Jours Mois]&amp;"/"&amp;Tableau6[[#Headers],[2023]],tabSuiviConso[Jour Mois Année],0)</f>
        <v>#N/A</v>
      </c>
      <c r="K353" s="35" t="e">
        <f>Tableau6[[#This Row],[Cumul 2022]]-Tableau6[[#This Row],[Cumul 2021]]</f>
        <v>#N/A</v>
      </c>
      <c r="L353" s="37" t="e">
        <f>Tableau6[[#This Row],[Ecart 2021 2022]]/Tableau6[[#This Row],[Cumul 2021]]</f>
        <v>#N/A</v>
      </c>
      <c r="M353" s="35" t="str">
        <f>IF(ISNA(Tableau6[[#This Row],[Position 2023]]),"",INDEX(tabSuiviConso[HP + HC
cumul],Tableau6[[#This Row],[Position 2023]],1))</f>
        <v/>
      </c>
      <c r="N353" s="56" t="e">
        <f>IF(ISNA(Tableau6[[#This Row],[Position 2023]]),Tableau6[[#This Row],[Position 2023]],Tableau6[[#This Row],[2023]]-M$2)</f>
        <v>#N/A</v>
      </c>
      <c r="O353" s="35" t="e">
        <f>Tableau6[[#This Row],[Cumul 2023]]-Tableau6[[#This Row],[Cumul 2022]]</f>
        <v>#N/A</v>
      </c>
      <c r="P353" s="37" t="e">
        <f>Tableau6[[#This Row],[Ecart 2022 2023]]/Tableau6[[#This Row],[Cumul 2022]]</f>
        <v>#N/A</v>
      </c>
      <c r="Q353" s="35" t="e">
        <f>MATCH(Tableau6[Jours Mois]&amp;"/"&amp;Tableau6[[#Headers],[2024]],tabSuiviConso[Jour Mois Année],0)</f>
        <v>#N/A</v>
      </c>
      <c r="R353" s="35" t="str">
        <f>IF(ISNA(Tableau6[[#This Row],[Position 2024]]),"",INDEX(tabSuiviConso[HP + HC
cumul],Tableau6[[#This Row],[Position 2024]],1))</f>
        <v/>
      </c>
      <c r="S353" s="56" t="e">
        <f>IF(ISNA(Tableau6[[#This Row],[Position 2024]]),Tableau6[[#This Row],[Position 2024]],Tableau6[[#This Row],[2024]]-R$2)</f>
        <v>#N/A</v>
      </c>
      <c r="T353" s="35" t="e">
        <f>Tableau6[[#This Row],[Cumul 2024]]-Tableau6[[#This Row],[Cumul 2023]]</f>
        <v>#N/A</v>
      </c>
      <c r="U353" s="36" t="e">
        <f>Tableau6[[#This Row],[Ecart 2023 2024]]/Tableau6[[#This Row],[Cumul 2023]]</f>
        <v>#N/A</v>
      </c>
    </row>
    <row r="354" spans="1:21" x14ac:dyDescent="0.2">
      <c r="A354" s="35">
        <v>12</v>
      </c>
      <c r="B354" s="35">
        <v>17</v>
      </c>
      <c r="C354" s="35" t="str">
        <f>Tableau6[Jour]&amp;"/"&amp;Tableau6[Mois]</f>
        <v>17/12</v>
      </c>
      <c r="D354" s="35" t="e">
        <f>MATCH(Tableau6[Jours Mois]&amp;"/"&amp;Tableau6[[#Headers],[2021]],tabSuiviConso[Jour Mois Année],0)</f>
        <v>#N/A</v>
      </c>
      <c r="E354" s="35" t="str">
        <f>IF(ISNA(Tableau6[[#This Row],[Position 2021]]),"",INDEX(tabSuiviConso[HP + HC
cumul],Tableau6[[#This Row],[Position 2021]],1))</f>
        <v/>
      </c>
      <c r="F354" s="56" t="e">
        <f>IF(ISNA(Tableau6[[#This Row],[Position 2021]]),Tableau6[[#This Row],[Position 2021]],Tableau6[[#This Row],[2021]]-E$2)</f>
        <v>#N/A</v>
      </c>
      <c r="G354" s="35" t="e">
        <f>MATCH(Tableau6[Jours Mois]&amp;"/"&amp;Tableau6[[#Headers],[2022]],tabSuiviConso[Jour Mois Année],0)</f>
        <v>#N/A</v>
      </c>
      <c r="H354" s="35" t="str">
        <f>IF(ISNA(Tableau6[[#This Row],[Position 2022]]),"",INDEX(tabSuiviConso[HP + HC
cumul],Tableau6[[#This Row],[Position 2022]],1))</f>
        <v/>
      </c>
      <c r="I354" s="56" t="e">
        <f>IF(ISNA(Tableau6[[#This Row],[Position 2022]]),Tableau6[[#This Row],[Position 2022]],Tableau6[[#This Row],[2022]]-H$2)</f>
        <v>#N/A</v>
      </c>
      <c r="J354" s="35" t="e">
        <f>MATCH(Tableau6[Jours Mois]&amp;"/"&amp;Tableau6[[#Headers],[2023]],tabSuiviConso[Jour Mois Année],0)</f>
        <v>#N/A</v>
      </c>
      <c r="K354" s="35" t="e">
        <f>Tableau6[[#This Row],[Cumul 2022]]-Tableau6[[#This Row],[Cumul 2021]]</f>
        <v>#N/A</v>
      </c>
      <c r="L354" s="37" t="e">
        <f>Tableau6[[#This Row],[Ecart 2021 2022]]/Tableau6[[#This Row],[Cumul 2021]]</f>
        <v>#N/A</v>
      </c>
      <c r="M354" s="35" t="str">
        <f>IF(ISNA(Tableau6[[#This Row],[Position 2023]]),"",INDEX(tabSuiviConso[HP + HC
cumul],Tableau6[[#This Row],[Position 2023]],1))</f>
        <v/>
      </c>
      <c r="N354" s="56" t="e">
        <f>IF(ISNA(Tableau6[[#This Row],[Position 2023]]),Tableau6[[#This Row],[Position 2023]],Tableau6[[#This Row],[2023]]-M$2)</f>
        <v>#N/A</v>
      </c>
      <c r="O354" s="35" t="e">
        <f>Tableau6[[#This Row],[Cumul 2023]]-Tableau6[[#This Row],[Cumul 2022]]</f>
        <v>#N/A</v>
      </c>
      <c r="P354" s="37" t="e">
        <f>Tableau6[[#This Row],[Ecart 2022 2023]]/Tableau6[[#This Row],[Cumul 2022]]</f>
        <v>#N/A</v>
      </c>
      <c r="Q354" s="35" t="e">
        <f>MATCH(Tableau6[Jours Mois]&amp;"/"&amp;Tableau6[[#Headers],[2024]],tabSuiviConso[Jour Mois Année],0)</f>
        <v>#N/A</v>
      </c>
      <c r="R354" s="35" t="str">
        <f>IF(ISNA(Tableau6[[#This Row],[Position 2024]]),"",INDEX(tabSuiviConso[HP + HC
cumul],Tableau6[[#This Row],[Position 2024]],1))</f>
        <v/>
      </c>
      <c r="S354" s="56" t="e">
        <f>IF(ISNA(Tableau6[[#This Row],[Position 2024]]),Tableau6[[#This Row],[Position 2024]],Tableau6[[#This Row],[2024]]-R$2)</f>
        <v>#N/A</v>
      </c>
      <c r="T354" s="35" t="e">
        <f>Tableau6[[#This Row],[Cumul 2024]]-Tableau6[[#This Row],[Cumul 2023]]</f>
        <v>#N/A</v>
      </c>
      <c r="U354" s="36" t="e">
        <f>Tableau6[[#This Row],[Ecart 2023 2024]]/Tableau6[[#This Row],[Cumul 2023]]</f>
        <v>#N/A</v>
      </c>
    </row>
    <row r="355" spans="1:21" x14ac:dyDescent="0.2">
      <c r="A355" s="35">
        <v>12</v>
      </c>
      <c r="B355" s="35">
        <v>18</v>
      </c>
      <c r="C355" s="35" t="str">
        <f>Tableau6[Jour]&amp;"/"&amp;Tableau6[Mois]</f>
        <v>18/12</v>
      </c>
      <c r="D355" s="35" t="e">
        <f>MATCH(Tableau6[Jours Mois]&amp;"/"&amp;Tableau6[[#Headers],[2021]],tabSuiviConso[Jour Mois Année],0)</f>
        <v>#N/A</v>
      </c>
      <c r="E355" s="35" t="str">
        <f>IF(ISNA(Tableau6[[#This Row],[Position 2021]]),"",INDEX(tabSuiviConso[HP + HC
cumul],Tableau6[[#This Row],[Position 2021]],1))</f>
        <v/>
      </c>
      <c r="F355" s="56" t="e">
        <f>IF(ISNA(Tableau6[[#This Row],[Position 2021]]),Tableau6[[#This Row],[Position 2021]],Tableau6[[#This Row],[2021]]-E$2)</f>
        <v>#N/A</v>
      </c>
      <c r="G355" s="35" t="e">
        <f>MATCH(Tableau6[Jours Mois]&amp;"/"&amp;Tableau6[[#Headers],[2022]],tabSuiviConso[Jour Mois Année],0)</f>
        <v>#N/A</v>
      </c>
      <c r="H355" s="35" t="str">
        <f>IF(ISNA(Tableau6[[#This Row],[Position 2022]]),"",INDEX(tabSuiviConso[HP + HC
cumul],Tableau6[[#This Row],[Position 2022]],1))</f>
        <v/>
      </c>
      <c r="I355" s="56" t="e">
        <f>IF(ISNA(Tableau6[[#This Row],[Position 2022]]),Tableau6[[#This Row],[Position 2022]],Tableau6[[#This Row],[2022]]-H$2)</f>
        <v>#N/A</v>
      </c>
      <c r="J355" s="35" t="e">
        <f>MATCH(Tableau6[Jours Mois]&amp;"/"&amp;Tableau6[[#Headers],[2023]],tabSuiviConso[Jour Mois Année],0)</f>
        <v>#N/A</v>
      </c>
      <c r="K355" s="35" t="e">
        <f>Tableau6[[#This Row],[Cumul 2022]]-Tableau6[[#This Row],[Cumul 2021]]</f>
        <v>#N/A</v>
      </c>
      <c r="L355" s="37" t="e">
        <f>Tableau6[[#This Row],[Ecart 2021 2022]]/Tableau6[[#This Row],[Cumul 2021]]</f>
        <v>#N/A</v>
      </c>
      <c r="M355" s="35" t="str">
        <f>IF(ISNA(Tableau6[[#This Row],[Position 2023]]),"",INDEX(tabSuiviConso[HP + HC
cumul],Tableau6[[#This Row],[Position 2023]],1))</f>
        <v/>
      </c>
      <c r="N355" s="56" t="e">
        <f>IF(ISNA(Tableau6[[#This Row],[Position 2023]]),Tableau6[[#This Row],[Position 2023]],Tableau6[[#This Row],[2023]]-M$2)</f>
        <v>#N/A</v>
      </c>
      <c r="O355" s="35" t="e">
        <f>Tableau6[[#This Row],[Cumul 2023]]-Tableau6[[#This Row],[Cumul 2022]]</f>
        <v>#N/A</v>
      </c>
      <c r="P355" s="37" t="e">
        <f>Tableau6[[#This Row],[Ecart 2022 2023]]/Tableau6[[#This Row],[Cumul 2022]]</f>
        <v>#N/A</v>
      </c>
      <c r="Q355" s="35" t="e">
        <f>MATCH(Tableau6[Jours Mois]&amp;"/"&amp;Tableau6[[#Headers],[2024]],tabSuiviConso[Jour Mois Année],0)</f>
        <v>#N/A</v>
      </c>
      <c r="R355" s="35" t="str">
        <f>IF(ISNA(Tableau6[[#This Row],[Position 2024]]),"",INDEX(tabSuiviConso[HP + HC
cumul],Tableau6[[#This Row],[Position 2024]],1))</f>
        <v/>
      </c>
      <c r="S355" s="56" t="e">
        <f>IF(ISNA(Tableau6[[#This Row],[Position 2024]]),Tableau6[[#This Row],[Position 2024]],Tableau6[[#This Row],[2024]]-R$2)</f>
        <v>#N/A</v>
      </c>
      <c r="T355" s="35" t="e">
        <f>Tableau6[[#This Row],[Cumul 2024]]-Tableau6[[#This Row],[Cumul 2023]]</f>
        <v>#N/A</v>
      </c>
      <c r="U355" s="36" t="e">
        <f>Tableau6[[#This Row],[Ecart 2023 2024]]/Tableau6[[#This Row],[Cumul 2023]]</f>
        <v>#N/A</v>
      </c>
    </row>
    <row r="356" spans="1:21" x14ac:dyDescent="0.2">
      <c r="A356" s="35">
        <v>12</v>
      </c>
      <c r="B356" s="35">
        <v>19</v>
      </c>
      <c r="C356" s="35" t="str">
        <f>Tableau6[Jour]&amp;"/"&amp;Tableau6[Mois]</f>
        <v>19/12</v>
      </c>
      <c r="D356" s="35" t="e">
        <f>MATCH(Tableau6[Jours Mois]&amp;"/"&amp;Tableau6[[#Headers],[2021]],tabSuiviConso[Jour Mois Année],0)</f>
        <v>#N/A</v>
      </c>
      <c r="E356" s="35" t="str">
        <f>IF(ISNA(Tableau6[[#This Row],[Position 2021]]),"",INDEX(tabSuiviConso[HP + HC
cumul],Tableau6[[#This Row],[Position 2021]],1))</f>
        <v/>
      </c>
      <c r="F356" s="56" t="e">
        <f>IF(ISNA(Tableau6[[#This Row],[Position 2021]]),Tableau6[[#This Row],[Position 2021]],Tableau6[[#This Row],[2021]]-E$2)</f>
        <v>#N/A</v>
      </c>
      <c r="G356" s="35" t="e">
        <f>MATCH(Tableau6[Jours Mois]&amp;"/"&amp;Tableau6[[#Headers],[2022]],tabSuiviConso[Jour Mois Année],0)</f>
        <v>#N/A</v>
      </c>
      <c r="H356" s="35" t="str">
        <f>IF(ISNA(Tableau6[[#This Row],[Position 2022]]),"",INDEX(tabSuiviConso[HP + HC
cumul],Tableau6[[#This Row],[Position 2022]],1))</f>
        <v/>
      </c>
      <c r="I356" s="56" t="e">
        <f>IF(ISNA(Tableau6[[#This Row],[Position 2022]]),Tableau6[[#This Row],[Position 2022]],Tableau6[[#This Row],[2022]]-H$2)</f>
        <v>#N/A</v>
      </c>
      <c r="J356" s="35" t="e">
        <f>MATCH(Tableau6[Jours Mois]&amp;"/"&amp;Tableau6[[#Headers],[2023]],tabSuiviConso[Jour Mois Année],0)</f>
        <v>#N/A</v>
      </c>
      <c r="K356" s="35" t="e">
        <f>Tableau6[[#This Row],[Cumul 2022]]-Tableau6[[#This Row],[Cumul 2021]]</f>
        <v>#N/A</v>
      </c>
      <c r="L356" s="37" t="e">
        <f>Tableau6[[#This Row],[Ecart 2021 2022]]/Tableau6[[#This Row],[Cumul 2021]]</f>
        <v>#N/A</v>
      </c>
      <c r="M356" s="35" t="str">
        <f>IF(ISNA(Tableau6[[#This Row],[Position 2023]]),"",INDEX(tabSuiviConso[HP + HC
cumul],Tableau6[[#This Row],[Position 2023]],1))</f>
        <v/>
      </c>
      <c r="N356" s="56" t="e">
        <f>IF(ISNA(Tableau6[[#This Row],[Position 2023]]),Tableau6[[#This Row],[Position 2023]],Tableau6[[#This Row],[2023]]-M$2)</f>
        <v>#N/A</v>
      </c>
      <c r="O356" s="35" t="e">
        <f>Tableau6[[#This Row],[Cumul 2023]]-Tableau6[[#This Row],[Cumul 2022]]</f>
        <v>#N/A</v>
      </c>
      <c r="P356" s="37" t="e">
        <f>Tableau6[[#This Row],[Ecart 2022 2023]]/Tableau6[[#This Row],[Cumul 2022]]</f>
        <v>#N/A</v>
      </c>
      <c r="Q356" s="35" t="e">
        <f>MATCH(Tableau6[Jours Mois]&amp;"/"&amp;Tableau6[[#Headers],[2024]],tabSuiviConso[Jour Mois Année],0)</f>
        <v>#N/A</v>
      </c>
      <c r="R356" s="35" t="str">
        <f>IF(ISNA(Tableau6[[#This Row],[Position 2024]]),"",INDEX(tabSuiviConso[HP + HC
cumul],Tableau6[[#This Row],[Position 2024]],1))</f>
        <v/>
      </c>
      <c r="S356" s="56" t="e">
        <f>IF(ISNA(Tableau6[[#This Row],[Position 2024]]),Tableau6[[#This Row],[Position 2024]],Tableau6[[#This Row],[2024]]-R$2)</f>
        <v>#N/A</v>
      </c>
      <c r="T356" s="35" t="e">
        <f>Tableau6[[#This Row],[Cumul 2024]]-Tableau6[[#This Row],[Cumul 2023]]</f>
        <v>#N/A</v>
      </c>
      <c r="U356" s="36" t="e">
        <f>Tableau6[[#This Row],[Ecart 2023 2024]]/Tableau6[[#This Row],[Cumul 2023]]</f>
        <v>#N/A</v>
      </c>
    </row>
    <row r="357" spans="1:21" x14ac:dyDescent="0.2">
      <c r="A357" s="35">
        <v>12</v>
      </c>
      <c r="B357" s="35">
        <v>20</v>
      </c>
      <c r="C357" s="35" t="str">
        <f>Tableau6[Jour]&amp;"/"&amp;Tableau6[Mois]</f>
        <v>20/12</v>
      </c>
      <c r="D357" s="35" t="e">
        <f>MATCH(Tableau6[Jours Mois]&amp;"/"&amp;Tableau6[[#Headers],[2021]],tabSuiviConso[Jour Mois Année],0)</f>
        <v>#N/A</v>
      </c>
      <c r="E357" s="35" t="str">
        <f>IF(ISNA(Tableau6[[#This Row],[Position 2021]]),"",INDEX(tabSuiviConso[HP + HC
cumul],Tableau6[[#This Row],[Position 2021]],1))</f>
        <v/>
      </c>
      <c r="F357" s="56" t="e">
        <f>IF(ISNA(Tableau6[[#This Row],[Position 2021]]),Tableau6[[#This Row],[Position 2021]],Tableau6[[#This Row],[2021]]-E$2)</f>
        <v>#N/A</v>
      </c>
      <c r="G357" s="35" t="e">
        <f>MATCH(Tableau6[Jours Mois]&amp;"/"&amp;Tableau6[[#Headers],[2022]],tabSuiviConso[Jour Mois Année],0)</f>
        <v>#N/A</v>
      </c>
      <c r="H357" s="35" t="str">
        <f>IF(ISNA(Tableau6[[#This Row],[Position 2022]]),"",INDEX(tabSuiviConso[HP + HC
cumul],Tableau6[[#This Row],[Position 2022]],1))</f>
        <v/>
      </c>
      <c r="I357" s="56" t="e">
        <f>IF(ISNA(Tableau6[[#This Row],[Position 2022]]),Tableau6[[#This Row],[Position 2022]],Tableau6[[#This Row],[2022]]-H$2)</f>
        <v>#N/A</v>
      </c>
      <c r="J357" s="35" t="e">
        <f>MATCH(Tableau6[Jours Mois]&amp;"/"&amp;Tableau6[[#Headers],[2023]],tabSuiviConso[Jour Mois Année],0)</f>
        <v>#N/A</v>
      </c>
      <c r="K357" s="35" t="e">
        <f>Tableau6[[#This Row],[Cumul 2022]]-Tableau6[[#This Row],[Cumul 2021]]</f>
        <v>#N/A</v>
      </c>
      <c r="L357" s="37" t="e">
        <f>Tableau6[[#This Row],[Ecart 2021 2022]]/Tableau6[[#This Row],[Cumul 2021]]</f>
        <v>#N/A</v>
      </c>
      <c r="M357" s="35" t="str">
        <f>IF(ISNA(Tableau6[[#This Row],[Position 2023]]),"",INDEX(tabSuiviConso[HP + HC
cumul],Tableau6[[#This Row],[Position 2023]],1))</f>
        <v/>
      </c>
      <c r="N357" s="56" t="e">
        <f>IF(ISNA(Tableau6[[#This Row],[Position 2023]]),Tableau6[[#This Row],[Position 2023]],Tableau6[[#This Row],[2023]]-M$2)</f>
        <v>#N/A</v>
      </c>
      <c r="O357" s="35" t="e">
        <f>Tableau6[[#This Row],[Cumul 2023]]-Tableau6[[#This Row],[Cumul 2022]]</f>
        <v>#N/A</v>
      </c>
      <c r="P357" s="37" t="e">
        <f>Tableau6[[#This Row],[Ecart 2022 2023]]/Tableau6[[#This Row],[Cumul 2022]]</f>
        <v>#N/A</v>
      </c>
      <c r="Q357" s="35" t="e">
        <f>MATCH(Tableau6[Jours Mois]&amp;"/"&amp;Tableau6[[#Headers],[2024]],tabSuiviConso[Jour Mois Année],0)</f>
        <v>#N/A</v>
      </c>
      <c r="R357" s="35" t="str">
        <f>IF(ISNA(Tableau6[[#This Row],[Position 2024]]),"",INDEX(tabSuiviConso[HP + HC
cumul],Tableau6[[#This Row],[Position 2024]],1))</f>
        <v/>
      </c>
      <c r="S357" s="56" t="e">
        <f>IF(ISNA(Tableau6[[#This Row],[Position 2024]]),Tableau6[[#This Row],[Position 2024]],Tableau6[[#This Row],[2024]]-R$2)</f>
        <v>#N/A</v>
      </c>
      <c r="T357" s="35" t="e">
        <f>Tableau6[[#This Row],[Cumul 2024]]-Tableau6[[#This Row],[Cumul 2023]]</f>
        <v>#N/A</v>
      </c>
      <c r="U357" s="36" t="e">
        <f>Tableau6[[#This Row],[Ecart 2023 2024]]/Tableau6[[#This Row],[Cumul 2023]]</f>
        <v>#N/A</v>
      </c>
    </row>
    <row r="358" spans="1:21" x14ac:dyDescent="0.2">
      <c r="A358" s="35">
        <v>12</v>
      </c>
      <c r="B358" s="35">
        <v>21</v>
      </c>
      <c r="C358" s="35" t="str">
        <f>Tableau6[Jour]&amp;"/"&amp;Tableau6[Mois]</f>
        <v>21/12</v>
      </c>
      <c r="D358" s="35" t="e">
        <f>MATCH(Tableau6[Jours Mois]&amp;"/"&amp;Tableau6[[#Headers],[2021]],tabSuiviConso[Jour Mois Année],0)</f>
        <v>#N/A</v>
      </c>
      <c r="E358" s="35" t="str">
        <f>IF(ISNA(Tableau6[[#This Row],[Position 2021]]),"",INDEX(tabSuiviConso[HP + HC
cumul],Tableau6[[#This Row],[Position 2021]],1))</f>
        <v/>
      </c>
      <c r="F358" s="56" t="e">
        <f>IF(ISNA(Tableau6[[#This Row],[Position 2021]]),Tableau6[[#This Row],[Position 2021]],Tableau6[[#This Row],[2021]]-E$2)</f>
        <v>#N/A</v>
      </c>
      <c r="G358" s="35" t="e">
        <f>MATCH(Tableau6[Jours Mois]&amp;"/"&amp;Tableau6[[#Headers],[2022]],tabSuiviConso[Jour Mois Année],0)</f>
        <v>#N/A</v>
      </c>
      <c r="H358" s="35" t="str">
        <f>IF(ISNA(Tableau6[[#This Row],[Position 2022]]),"",INDEX(tabSuiviConso[HP + HC
cumul],Tableau6[[#This Row],[Position 2022]],1))</f>
        <v/>
      </c>
      <c r="I358" s="56" t="e">
        <f>IF(ISNA(Tableau6[[#This Row],[Position 2022]]),Tableau6[[#This Row],[Position 2022]],Tableau6[[#This Row],[2022]]-H$2)</f>
        <v>#N/A</v>
      </c>
      <c r="J358" s="35" t="e">
        <f>MATCH(Tableau6[Jours Mois]&amp;"/"&amp;Tableau6[[#Headers],[2023]],tabSuiviConso[Jour Mois Année],0)</f>
        <v>#N/A</v>
      </c>
      <c r="K358" s="35" t="e">
        <f>Tableau6[[#This Row],[Cumul 2022]]-Tableau6[[#This Row],[Cumul 2021]]</f>
        <v>#N/A</v>
      </c>
      <c r="L358" s="37" t="e">
        <f>Tableau6[[#This Row],[Ecart 2021 2022]]/Tableau6[[#This Row],[Cumul 2021]]</f>
        <v>#N/A</v>
      </c>
      <c r="M358" s="35" t="str">
        <f>IF(ISNA(Tableau6[[#This Row],[Position 2023]]),"",INDEX(tabSuiviConso[HP + HC
cumul],Tableau6[[#This Row],[Position 2023]],1))</f>
        <v/>
      </c>
      <c r="N358" s="56" t="e">
        <f>IF(ISNA(Tableau6[[#This Row],[Position 2023]]),Tableau6[[#This Row],[Position 2023]],Tableau6[[#This Row],[2023]]-M$2)</f>
        <v>#N/A</v>
      </c>
      <c r="O358" s="35" t="e">
        <f>Tableau6[[#This Row],[Cumul 2023]]-Tableau6[[#This Row],[Cumul 2022]]</f>
        <v>#N/A</v>
      </c>
      <c r="P358" s="37" t="e">
        <f>Tableau6[[#This Row],[Ecart 2022 2023]]/Tableau6[[#This Row],[Cumul 2022]]</f>
        <v>#N/A</v>
      </c>
      <c r="Q358" s="35" t="e">
        <f>MATCH(Tableau6[Jours Mois]&amp;"/"&amp;Tableau6[[#Headers],[2024]],tabSuiviConso[Jour Mois Année],0)</f>
        <v>#N/A</v>
      </c>
      <c r="R358" s="35" t="str">
        <f>IF(ISNA(Tableau6[[#This Row],[Position 2024]]),"",INDEX(tabSuiviConso[HP + HC
cumul],Tableau6[[#This Row],[Position 2024]],1))</f>
        <v/>
      </c>
      <c r="S358" s="56" t="e">
        <f>IF(ISNA(Tableau6[[#This Row],[Position 2024]]),Tableau6[[#This Row],[Position 2024]],Tableau6[[#This Row],[2024]]-R$2)</f>
        <v>#N/A</v>
      </c>
      <c r="T358" s="35" t="e">
        <f>Tableau6[[#This Row],[Cumul 2024]]-Tableau6[[#This Row],[Cumul 2023]]</f>
        <v>#N/A</v>
      </c>
      <c r="U358" s="36" t="e">
        <f>Tableau6[[#This Row],[Ecart 2023 2024]]/Tableau6[[#This Row],[Cumul 2023]]</f>
        <v>#N/A</v>
      </c>
    </row>
    <row r="359" spans="1:21" x14ac:dyDescent="0.2">
      <c r="A359" s="35">
        <v>12</v>
      </c>
      <c r="B359" s="35">
        <v>22</v>
      </c>
      <c r="C359" s="35" t="str">
        <f>Tableau6[Jour]&amp;"/"&amp;Tableau6[Mois]</f>
        <v>22/12</v>
      </c>
      <c r="D359" s="35" t="e">
        <f>MATCH(Tableau6[Jours Mois]&amp;"/"&amp;Tableau6[[#Headers],[2021]],tabSuiviConso[Jour Mois Année],0)</f>
        <v>#N/A</v>
      </c>
      <c r="E359" s="35" t="str">
        <f>IF(ISNA(Tableau6[[#This Row],[Position 2021]]),"",INDEX(tabSuiviConso[HP + HC
cumul],Tableau6[[#This Row],[Position 2021]],1))</f>
        <v/>
      </c>
      <c r="F359" s="56" t="e">
        <f>IF(ISNA(Tableau6[[#This Row],[Position 2021]]),Tableau6[[#This Row],[Position 2021]],Tableau6[[#This Row],[2021]]-E$2)</f>
        <v>#N/A</v>
      </c>
      <c r="G359" s="35" t="e">
        <f>MATCH(Tableau6[Jours Mois]&amp;"/"&amp;Tableau6[[#Headers],[2022]],tabSuiviConso[Jour Mois Année],0)</f>
        <v>#N/A</v>
      </c>
      <c r="H359" s="35" t="str">
        <f>IF(ISNA(Tableau6[[#This Row],[Position 2022]]),"",INDEX(tabSuiviConso[HP + HC
cumul],Tableau6[[#This Row],[Position 2022]],1))</f>
        <v/>
      </c>
      <c r="I359" s="56" t="e">
        <f>IF(ISNA(Tableau6[[#This Row],[Position 2022]]),Tableau6[[#This Row],[Position 2022]],Tableau6[[#This Row],[2022]]-H$2)</f>
        <v>#N/A</v>
      </c>
      <c r="J359" s="35" t="e">
        <f>MATCH(Tableau6[Jours Mois]&amp;"/"&amp;Tableau6[[#Headers],[2023]],tabSuiviConso[Jour Mois Année],0)</f>
        <v>#N/A</v>
      </c>
      <c r="K359" s="35" t="e">
        <f>Tableau6[[#This Row],[Cumul 2022]]-Tableau6[[#This Row],[Cumul 2021]]</f>
        <v>#N/A</v>
      </c>
      <c r="L359" s="37" t="e">
        <f>Tableau6[[#This Row],[Ecart 2021 2022]]/Tableau6[[#This Row],[Cumul 2021]]</f>
        <v>#N/A</v>
      </c>
      <c r="M359" s="35" t="str">
        <f>IF(ISNA(Tableau6[[#This Row],[Position 2023]]),"",INDEX(tabSuiviConso[HP + HC
cumul],Tableau6[[#This Row],[Position 2023]],1))</f>
        <v/>
      </c>
      <c r="N359" s="56" t="e">
        <f>IF(ISNA(Tableau6[[#This Row],[Position 2023]]),Tableau6[[#This Row],[Position 2023]],Tableau6[[#This Row],[2023]]-M$2)</f>
        <v>#N/A</v>
      </c>
      <c r="O359" s="35" t="e">
        <f>Tableau6[[#This Row],[Cumul 2023]]-Tableau6[[#This Row],[Cumul 2022]]</f>
        <v>#N/A</v>
      </c>
      <c r="P359" s="37" t="e">
        <f>Tableau6[[#This Row],[Ecart 2022 2023]]/Tableau6[[#This Row],[Cumul 2022]]</f>
        <v>#N/A</v>
      </c>
      <c r="Q359" s="35" t="e">
        <f>MATCH(Tableau6[Jours Mois]&amp;"/"&amp;Tableau6[[#Headers],[2024]],tabSuiviConso[Jour Mois Année],0)</f>
        <v>#N/A</v>
      </c>
      <c r="R359" s="35" t="str">
        <f>IF(ISNA(Tableau6[[#This Row],[Position 2024]]),"",INDEX(tabSuiviConso[HP + HC
cumul],Tableau6[[#This Row],[Position 2024]],1))</f>
        <v/>
      </c>
      <c r="S359" s="56" t="e">
        <f>IF(ISNA(Tableau6[[#This Row],[Position 2024]]),Tableau6[[#This Row],[Position 2024]],Tableau6[[#This Row],[2024]]-R$2)</f>
        <v>#N/A</v>
      </c>
      <c r="T359" s="35" t="e">
        <f>Tableau6[[#This Row],[Cumul 2024]]-Tableau6[[#This Row],[Cumul 2023]]</f>
        <v>#N/A</v>
      </c>
      <c r="U359" s="36" t="e">
        <f>Tableau6[[#This Row],[Ecart 2023 2024]]/Tableau6[[#This Row],[Cumul 2023]]</f>
        <v>#N/A</v>
      </c>
    </row>
    <row r="360" spans="1:21" x14ac:dyDescent="0.2">
      <c r="A360" s="35">
        <v>12</v>
      </c>
      <c r="B360" s="35">
        <v>23</v>
      </c>
      <c r="C360" s="35" t="str">
        <f>Tableau6[Jour]&amp;"/"&amp;Tableau6[Mois]</f>
        <v>23/12</v>
      </c>
      <c r="D360" s="35" t="e">
        <f>MATCH(Tableau6[Jours Mois]&amp;"/"&amp;Tableau6[[#Headers],[2021]],tabSuiviConso[Jour Mois Année],0)</f>
        <v>#N/A</v>
      </c>
      <c r="E360" s="35" t="str">
        <f>IF(ISNA(Tableau6[[#This Row],[Position 2021]]),"",INDEX(tabSuiviConso[HP + HC
cumul],Tableau6[[#This Row],[Position 2021]],1))</f>
        <v/>
      </c>
      <c r="F360" s="56" t="e">
        <f>IF(ISNA(Tableau6[[#This Row],[Position 2021]]),Tableau6[[#This Row],[Position 2021]],Tableau6[[#This Row],[2021]]-E$2)</f>
        <v>#N/A</v>
      </c>
      <c r="G360" s="35" t="e">
        <f>MATCH(Tableau6[Jours Mois]&amp;"/"&amp;Tableau6[[#Headers],[2022]],tabSuiviConso[Jour Mois Année],0)</f>
        <v>#N/A</v>
      </c>
      <c r="H360" s="35" t="str">
        <f>IF(ISNA(Tableau6[[#This Row],[Position 2022]]),"",INDEX(tabSuiviConso[HP + HC
cumul],Tableau6[[#This Row],[Position 2022]],1))</f>
        <v/>
      </c>
      <c r="I360" s="56" t="e">
        <f>IF(ISNA(Tableau6[[#This Row],[Position 2022]]),Tableau6[[#This Row],[Position 2022]],Tableau6[[#This Row],[2022]]-H$2)</f>
        <v>#N/A</v>
      </c>
      <c r="J360" s="35" t="e">
        <f>MATCH(Tableau6[Jours Mois]&amp;"/"&amp;Tableau6[[#Headers],[2023]],tabSuiviConso[Jour Mois Année],0)</f>
        <v>#N/A</v>
      </c>
      <c r="K360" s="35" t="e">
        <f>Tableau6[[#This Row],[Cumul 2022]]-Tableau6[[#This Row],[Cumul 2021]]</f>
        <v>#N/A</v>
      </c>
      <c r="L360" s="37" t="e">
        <f>Tableau6[[#This Row],[Ecart 2021 2022]]/Tableau6[[#This Row],[Cumul 2021]]</f>
        <v>#N/A</v>
      </c>
      <c r="M360" s="35" t="str">
        <f>IF(ISNA(Tableau6[[#This Row],[Position 2023]]),"",INDEX(tabSuiviConso[HP + HC
cumul],Tableau6[[#This Row],[Position 2023]],1))</f>
        <v/>
      </c>
      <c r="N360" s="56" t="e">
        <f>IF(ISNA(Tableau6[[#This Row],[Position 2023]]),Tableau6[[#This Row],[Position 2023]],Tableau6[[#This Row],[2023]]-M$2)</f>
        <v>#N/A</v>
      </c>
      <c r="O360" s="35" t="e">
        <f>Tableau6[[#This Row],[Cumul 2023]]-Tableau6[[#This Row],[Cumul 2022]]</f>
        <v>#N/A</v>
      </c>
      <c r="P360" s="37" t="e">
        <f>Tableau6[[#This Row],[Ecart 2022 2023]]/Tableau6[[#This Row],[Cumul 2022]]</f>
        <v>#N/A</v>
      </c>
      <c r="Q360" s="35" t="e">
        <f>MATCH(Tableau6[Jours Mois]&amp;"/"&amp;Tableau6[[#Headers],[2024]],tabSuiviConso[Jour Mois Année],0)</f>
        <v>#N/A</v>
      </c>
      <c r="R360" s="35" t="str">
        <f>IF(ISNA(Tableau6[[#This Row],[Position 2024]]),"",INDEX(tabSuiviConso[HP + HC
cumul],Tableau6[[#This Row],[Position 2024]],1))</f>
        <v/>
      </c>
      <c r="S360" s="56" t="e">
        <f>IF(ISNA(Tableau6[[#This Row],[Position 2024]]),Tableau6[[#This Row],[Position 2024]],Tableau6[[#This Row],[2024]]-R$2)</f>
        <v>#N/A</v>
      </c>
      <c r="T360" s="35" t="e">
        <f>Tableau6[[#This Row],[Cumul 2024]]-Tableau6[[#This Row],[Cumul 2023]]</f>
        <v>#N/A</v>
      </c>
      <c r="U360" s="36" t="e">
        <f>Tableau6[[#This Row],[Ecart 2023 2024]]/Tableau6[[#This Row],[Cumul 2023]]</f>
        <v>#N/A</v>
      </c>
    </row>
    <row r="361" spans="1:21" x14ac:dyDescent="0.2">
      <c r="A361" s="35">
        <v>12</v>
      </c>
      <c r="B361" s="35">
        <v>24</v>
      </c>
      <c r="C361" s="35" t="str">
        <f>Tableau6[Jour]&amp;"/"&amp;Tableau6[Mois]</f>
        <v>24/12</v>
      </c>
      <c r="D361" s="35" t="e">
        <f>MATCH(Tableau6[Jours Mois]&amp;"/"&amp;Tableau6[[#Headers],[2021]],tabSuiviConso[Jour Mois Année],0)</f>
        <v>#N/A</v>
      </c>
      <c r="E361" s="35" t="str">
        <f>IF(ISNA(Tableau6[[#This Row],[Position 2021]]),"",INDEX(tabSuiviConso[HP + HC
cumul],Tableau6[[#This Row],[Position 2021]],1))</f>
        <v/>
      </c>
      <c r="F361" s="56" t="e">
        <f>IF(ISNA(Tableau6[[#This Row],[Position 2021]]),Tableau6[[#This Row],[Position 2021]],Tableau6[[#This Row],[2021]]-E$2)</f>
        <v>#N/A</v>
      </c>
      <c r="G361" s="35" t="e">
        <f>MATCH(Tableau6[Jours Mois]&amp;"/"&amp;Tableau6[[#Headers],[2022]],tabSuiviConso[Jour Mois Année],0)</f>
        <v>#N/A</v>
      </c>
      <c r="H361" s="35" t="str">
        <f>IF(ISNA(Tableau6[[#This Row],[Position 2022]]),"",INDEX(tabSuiviConso[HP + HC
cumul],Tableau6[[#This Row],[Position 2022]],1))</f>
        <v/>
      </c>
      <c r="I361" s="56" t="e">
        <f>IF(ISNA(Tableau6[[#This Row],[Position 2022]]),Tableau6[[#This Row],[Position 2022]],Tableau6[[#This Row],[2022]]-H$2)</f>
        <v>#N/A</v>
      </c>
      <c r="J361" s="35" t="e">
        <f>MATCH(Tableau6[Jours Mois]&amp;"/"&amp;Tableau6[[#Headers],[2023]],tabSuiviConso[Jour Mois Année],0)</f>
        <v>#N/A</v>
      </c>
      <c r="K361" s="35" t="e">
        <f>Tableau6[[#This Row],[Cumul 2022]]-Tableau6[[#This Row],[Cumul 2021]]</f>
        <v>#N/A</v>
      </c>
      <c r="L361" s="37" t="e">
        <f>Tableau6[[#This Row],[Ecart 2021 2022]]/Tableau6[[#This Row],[Cumul 2021]]</f>
        <v>#N/A</v>
      </c>
      <c r="M361" s="35" t="str">
        <f>IF(ISNA(Tableau6[[#This Row],[Position 2023]]),"",INDEX(tabSuiviConso[HP + HC
cumul],Tableau6[[#This Row],[Position 2023]],1))</f>
        <v/>
      </c>
      <c r="N361" s="56" t="e">
        <f>IF(ISNA(Tableau6[[#This Row],[Position 2023]]),Tableau6[[#This Row],[Position 2023]],Tableau6[[#This Row],[2023]]-M$2)</f>
        <v>#N/A</v>
      </c>
      <c r="O361" s="35" t="e">
        <f>Tableau6[[#This Row],[Cumul 2023]]-Tableau6[[#This Row],[Cumul 2022]]</f>
        <v>#N/A</v>
      </c>
      <c r="P361" s="37" t="e">
        <f>Tableau6[[#This Row],[Ecart 2022 2023]]/Tableau6[[#This Row],[Cumul 2022]]</f>
        <v>#N/A</v>
      </c>
      <c r="Q361" s="35" t="e">
        <f>MATCH(Tableau6[Jours Mois]&amp;"/"&amp;Tableau6[[#Headers],[2024]],tabSuiviConso[Jour Mois Année],0)</f>
        <v>#N/A</v>
      </c>
      <c r="R361" s="35" t="str">
        <f>IF(ISNA(Tableau6[[#This Row],[Position 2024]]),"",INDEX(tabSuiviConso[HP + HC
cumul],Tableau6[[#This Row],[Position 2024]],1))</f>
        <v/>
      </c>
      <c r="S361" s="56" t="e">
        <f>IF(ISNA(Tableau6[[#This Row],[Position 2024]]),Tableau6[[#This Row],[Position 2024]],Tableau6[[#This Row],[2024]]-R$2)</f>
        <v>#N/A</v>
      </c>
      <c r="T361" s="35" t="e">
        <f>Tableau6[[#This Row],[Cumul 2024]]-Tableau6[[#This Row],[Cumul 2023]]</f>
        <v>#N/A</v>
      </c>
      <c r="U361" s="36" t="e">
        <f>Tableau6[[#This Row],[Ecart 2023 2024]]/Tableau6[[#This Row],[Cumul 2023]]</f>
        <v>#N/A</v>
      </c>
    </row>
    <row r="362" spans="1:21" x14ac:dyDescent="0.2">
      <c r="A362" s="35">
        <v>12</v>
      </c>
      <c r="B362" s="35">
        <v>25</v>
      </c>
      <c r="C362" s="35" t="str">
        <f>Tableau6[Jour]&amp;"/"&amp;Tableau6[Mois]</f>
        <v>25/12</v>
      </c>
      <c r="D362" s="35" t="e">
        <f>MATCH(Tableau6[Jours Mois]&amp;"/"&amp;Tableau6[[#Headers],[2021]],tabSuiviConso[Jour Mois Année],0)</f>
        <v>#N/A</v>
      </c>
      <c r="E362" s="35" t="str">
        <f>IF(ISNA(Tableau6[[#This Row],[Position 2021]]),"",INDEX(tabSuiviConso[HP + HC
cumul],Tableau6[[#This Row],[Position 2021]],1))</f>
        <v/>
      </c>
      <c r="F362" s="56" t="e">
        <f>IF(ISNA(Tableau6[[#This Row],[Position 2021]]),Tableau6[[#This Row],[Position 2021]],Tableau6[[#This Row],[2021]]-E$2)</f>
        <v>#N/A</v>
      </c>
      <c r="G362" s="35" t="e">
        <f>MATCH(Tableau6[Jours Mois]&amp;"/"&amp;Tableau6[[#Headers],[2022]],tabSuiviConso[Jour Mois Année],0)</f>
        <v>#N/A</v>
      </c>
      <c r="H362" s="35" t="str">
        <f>IF(ISNA(Tableau6[[#This Row],[Position 2022]]),"",INDEX(tabSuiviConso[HP + HC
cumul],Tableau6[[#This Row],[Position 2022]],1))</f>
        <v/>
      </c>
      <c r="I362" s="56" t="e">
        <f>IF(ISNA(Tableau6[[#This Row],[Position 2022]]),Tableau6[[#This Row],[Position 2022]],Tableau6[[#This Row],[2022]]-H$2)</f>
        <v>#N/A</v>
      </c>
      <c r="J362" s="35" t="e">
        <f>MATCH(Tableau6[Jours Mois]&amp;"/"&amp;Tableau6[[#Headers],[2023]],tabSuiviConso[Jour Mois Année],0)</f>
        <v>#N/A</v>
      </c>
      <c r="K362" s="35" t="e">
        <f>Tableau6[[#This Row],[Cumul 2022]]-Tableau6[[#This Row],[Cumul 2021]]</f>
        <v>#N/A</v>
      </c>
      <c r="L362" s="37" t="e">
        <f>Tableau6[[#This Row],[Ecart 2021 2022]]/Tableau6[[#This Row],[Cumul 2021]]</f>
        <v>#N/A</v>
      </c>
      <c r="M362" s="35" t="str">
        <f>IF(ISNA(Tableau6[[#This Row],[Position 2023]]),"",INDEX(tabSuiviConso[HP + HC
cumul],Tableau6[[#This Row],[Position 2023]],1))</f>
        <v/>
      </c>
      <c r="N362" s="56" t="e">
        <f>IF(ISNA(Tableau6[[#This Row],[Position 2023]]),Tableau6[[#This Row],[Position 2023]],Tableau6[[#This Row],[2023]]-M$2)</f>
        <v>#N/A</v>
      </c>
      <c r="O362" s="35" t="e">
        <f>Tableau6[[#This Row],[Cumul 2023]]-Tableau6[[#This Row],[Cumul 2022]]</f>
        <v>#N/A</v>
      </c>
      <c r="P362" s="37" t="e">
        <f>Tableau6[[#This Row],[Ecart 2022 2023]]/Tableau6[[#This Row],[Cumul 2022]]</f>
        <v>#N/A</v>
      </c>
      <c r="Q362" s="35" t="e">
        <f>MATCH(Tableau6[Jours Mois]&amp;"/"&amp;Tableau6[[#Headers],[2024]],tabSuiviConso[Jour Mois Année],0)</f>
        <v>#N/A</v>
      </c>
      <c r="R362" s="35" t="str">
        <f>IF(ISNA(Tableau6[[#This Row],[Position 2024]]),"",INDEX(tabSuiviConso[HP + HC
cumul],Tableau6[[#This Row],[Position 2024]],1))</f>
        <v/>
      </c>
      <c r="S362" s="56" t="e">
        <f>IF(ISNA(Tableau6[[#This Row],[Position 2024]]),Tableau6[[#This Row],[Position 2024]],Tableau6[[#This Row],[2024]]-R$2)</f>
        <v>#N/A</v>
      </c>
      <c r="T362" s="35" t="e">
        <f>Tableau6[[#This Row],[Cumul 2024]]-Tableau6[[#This Row],[Cumul 2023]]</f>
        <v>#N/A</v>
      </c>
      <c r="U362" s="36" t="e">
        <f>Tableau6[[#This Row],[Ecart 2023 2024]]/Tableau6[[#This Row],[Cumul 2023]]</f>
        <v>#N/A</v>
      </c>
    </row>
    <row r="363" spans="1:21" x14ac:dyDescent="0.2">
      <c r="A363" s="35">
        <v>12</v>
      </c>
      <c r="B363" s="35">
        <v>26</v>
      </c>
      <c r="C363" s="35" t="str">
        <f>Tableau6[Jour]&amp;"/"&amp;Tableau6[Mois]</f>
        <v>26/12</v>
      </c>
      <c r="D363" s="35" t="e">
        <f>MATCH(Tableau6[Jours Mois]&amp;"/"&amp;Tableau6[[#Headers],[2021]],tabSuiviConso[Jour Mois Année],0)</f>
        <v>#N/A</v>
      </c>
      <c r="E363" s="35" t="str">
        <f>IF(ISNA(Tableau6[[#This Row],[Position 2021]]),"",INDEX(tabSuiviConso[HP + HC
cumul],Tableau6[[#This Row],[Position 2021]],1))</f>
        <v/>
      </c>
      <c r="F363" s="56" t="e">
        <f>IF(ISNA(Tableau6[[#This Row],[Position 2021]]),Tableau6[[#This Row],[Position 2021]],Tableau6[[#This Row],[2021]]-E$2)</f>
        <v>#N/A</v>
      </c>
      <c r="G363" s="35" t="e">
        <f>MATCH(Tableau6[Jours Mois]&amp;"/"&amp;Tableau6[[#Headers],[2022]],tabSuiviConso[Jour Mois Année],0)</f>
        <v>#N/A</v>
      </c>
      <c r="H363" s="35" t="str">
        <f>IF(ISNA(Tableau6[[#This Row],[Position 2022]]),"",INDEX(tabSuiviConso[HP + HC
cumul],Tableau6[[#This Row],[Position 2022]],1))</f>
        <v/>
      </c>
      <c r="I363" s="56" t="e">
        <f>IF(ISNA(Tableau6[[#This Row],[Position 2022]]),Tableau6[[#This Row],[Position 2022]],Tableau6[[#This Row],[2022]]-H$2)</f>
        <v>#N/A</v>
      </c>
      <c r="J363" s="35" t="e">
        <f>MATCH(Tableau6[Jours Mois]&amp;"/"&amp;Tableau6[[#Headers],[2023]],tabSuiviConso[Jour Mois Année],0)</f>
        <v>#N/A</v>
      </c>
      <c r="K363" s="35" t="e">
        <f>Tableau6[[#This Row],[Cumul 2022]]-Tableau6[[#This Row],[Cumul 2021]]</f>
        <v>#N/A</v>
      </c>
      <c r="L363" s="37" t="e">
        <f>Tableau6[[#This Row],[Ecart 2021 2022]]/Tableau6[[#This Row],[Cumul 2021]]</f>
        <v>#N/A</v>
      </c>
      <c r="M363" s="35" t="str">
        <f>IF(ISNA(Tableau6[[#This Row],[Position 2023]]),"",INDEX(tabSuiviConso[HP + HC
cumul],Tableau6[[#This Row],[Position 2023]],1))</f>
        <v/>
      </c>
      <c r="N363" s="56" t="e">
        <f>IF(ISNA(Tableau6[[#This Row],[Position 2023]]),Tableau6[[#This Row],[Position 2023]],Tableau6[[#This Row],[2023]]-M$2)</f>
        <v>#N/A</v>
      </c>
      <c r="O363" s="35" t="e">
        <f>Tableau6[[#This Row],[Cumul 2023]]-Tableau6[[#This Row],[Cumul 2022]]</f>
        <v>#N/A</v>
      </c>
      <c r="P363" s="37" t="e">
        <f>Tableau6[[#This Row],[Ecart 2022 2023]]/Tableau6[[#This Row],[Cumul 2022]]</f>
        <v>#N/A</v>
      </c>
      <c r="Q363" s="35" t="e">
        <f>MATCH(Tableau6[Jours Mois]&amp;"/"&amp;Tableau6[[#Headers],[2024]],tabSuiviConso[Jour Mois Année],0)</f>
        <v>#N/A</v>
      </c>
      <c r="R363" s="35" t="str">
        <f>IF(ISNA(Tableau6[[#This Row],[Position 2024]]),"",INDEX(tabSuiviConso[HP + HC
cumul],Tableau6[[#This Row],[Position 2024]],1))</f>
        <v/>
      </c>
      <c r="S363" s="56" t="e">
        <f>IF(ISNA(Tableau6[[#This Row],[Position 2024]]),Tableau6[[#This Row],[Position 2024]],Tableau6[[#This Row],[2024]]-R$2)</f>
        <v>#N/A</v>
      </c>
      <c r="T363" s="35" t="e">
        <f>Tableau6[[#This Row],[Cumul 2024]]-Tableau6[[#This Row],[Cumul 2023]]</f>
        <v>#N/A</v>
      </c>
      <c r="U363" s="36" t="e">
        <f>Tableau6[[#This Row],[Ecart 2023 2024]]/Tableau6[[#This Row],[Cumul 2023]]</f>
        <v>#N/A</v>
      </c>
    </row>
    <row r="364" spans="1:21" x14ac:dyDescent="0.2">
      <c r="A364" s="35">
        <v>12</v>
      </c>
      <c r="B364" s="35">
        <v>27</v>
      </c>
      <c r="C364" s="35" t="str">
        <f>Tableau6[Jour]&amp;"/"&amp;Tableau6[Mois]</f>
        <v>27/12</v>
      </c>
      <c r="D364" s="35" t="e">
        <f>MATCH(Tableau6[Jours Mois]&amp;"/"&amp;Tableau6[[#Headers],[2021]],tabSuiviConso[Jour Mois Année],0)</f>
        <v>#N/A</v>
      </c>
      <c r="E364" s="35" t="str">
        <f>IF(ISNA(Tableau6[[#This Row],[Position 2021]]),"",INDEX(tabSuiviConso[HP + HC
cumul],Tableau6[[#This Row],[Position 2021]],1))</f>
        <v/>
      </c>
      <c r="F364" s="56" t="e">
        <f>IF(ISNA(Tableau6[[#This Row],[Position 2021]]),Tableau6[[#This Row],[Position 2021]],Tableau6[[#This Row],[2021]]-E$2)</f>
        <v>#N/A</v>
      </c>
      <c r="G364" s="35" t="e">
        <f>MATCH(Tableau6[Jours Mois]&amp;"/"&amp;Tableau6[[#Headers],[2022]],tabSuiviConso[Jour Mois Année],0)</f>
        <v>#N/A</v>
      </c>
      <c r="H364" s="35" t="str">
        <f>IF(ISNA(Tableau6[[#This Row],[Position 2022]]),"",INDEX(tabSuiviConso[HP + HC
cumul],Tableau6[[#This Row],[Position 2022]],1))</f>
        <v/>
      </c>
      <c r="I364" s="56" t="e">
        <f>IF(ISNA(Tableau6[[#This Row],[Position 2022]]),Tableau6[[#This Row],[Position 2022]],Tableau6[[#This Row],[2022]]-H$2)</f>
        <v>#N/A</v>
      </c>
      <c r="J364" s="35" t="e">
        <f>MATCH(Tableau6[Jours Mois]&amp;"/"&amp;Tableau6[[#Headers],[2023]],tabSuiviConso[Jour Mois Année],0)</f>
        <v>#N/A</v>
      </c>
      <c r="K364" s="35" t="e">
        <f>Tableau6[[#This Row],[Cumul 2022]]-Tableau6[[#This Row],[Cumul 2021]]</f>
        <v>#N/A</v>
      </c>
      <c r="L364" s="37" t="e">
        <f>Tableau6[[#This Row],[Ecart 2021 2022]]/Tableau6[[#This Row],[Cumul 2021]]</f>
        <v>#N/A</v>
      </c>
      <c r="M364" s="35" t="str">
        <f>IF(ISNA(Tableau6[[#This Row],[Position 2023]]),"",INDEX(tabSuiviConso[HP + HC
cumul],Tableau6[[#This Row],[Position 2023]],1))</f>
        <v/>
      </c>
      <c r="N364" s="56" t="e">
        <f>IF(ISNA(Tableau6[[#This Row],[Position 2023]]),Tableau6[[#This Row],[Position 2023]],Tableau6[[#This Row],[2023]]-M$2)</f>
        <v>#N/A</v>
      </c>
      <c r="O364" s="35" t="e">
        <f>Tableau6[[#This Row],[Cumul 2023]]-Tableau6[[#This Row],[Cumul 2022]]</f>
        <v>#N/A</v>
      </c>
      <c r="P364" s="37" t="e">
        <f>Tableau6[[#This Row],[Ecart 2022 2023]]/Tableau6[[#This Row],[Cumul 2022]]</f>
        <v>#N/A</v>
      </c>
      <c r="Q364" s="35" t="e">
        <f>MATCH(Tableau6[Jours Mois]&amp;"/"&amp;Tableau6[[#Headers],[2024]],tabSuiviConso[Jour Mois Année],0)</f>
        <v>#N/A</v>
      </c>
      <c r="R364" s="35" t="str">
        <f>IF(ISNA(Tableau6[[#This Row],[Position 2024]]),"",INDEX(tabSuiviConso[HP + HC
cumul],Tableau6[[#This Row],[Position 2024]],1))</f>
        <v/>
      </c>
      <c r="S364" s="56" t="e">
        <f>IF(ISNA(Tableau6[[#This Row],[Position 2024]]),Tableau6[[#This Row],[Position 2024]],Tableau6[[#This Row],[2024]]-R$2)</f>
        <v>#N/A</v>
      </c>
      <c r="T364" s="35" t="e">
        <f>Tableau6[[#This Row],[Cumul 2024]]-Tableau6[[#This Row],[Cumul 2023]]</f>
        <v>#N/A</v>
      </c>
      <c r="U364" s="36" t="e">
        <f>Tableau6[[#This Row],[Ecart 2023 2024]]/Tableau6[[#This Row],[Cumul 2023]]</f>
        <v>#N/A</v>
      </c>
    </row>
    <row r="365" spans="1:21" x14ac:dyDescent="0.2">
      <c r="A365" s="35">
        <v>12</v>
      </c>
      <c r="B365" s="35">
        <v>28</v>
      </c>
      <c r="C365" s="35" t="str">
        <f>Tableau6[Jour]&amp;"/"&amp;Tableau6[Mois]</f>
        <v>28/12</v>
      </c>
      <c r="D365" s="35" t="e">
        <f>MATCH(Tableau6[Jours Mois]&amp;"/"&amp;Tableau6[[#Headers],[2021]],tabSuiviConso[Jour Mois Année],0)</f>
        <v>#N/A</v>
      </c>
      <c r="E365" s="35" t="str">
        <f>IF(ISNA(Tableau6[[#This Row],[Position 2021]]),"",INDEX(tabSuiviConso[HP + HC
cumul],Tableau6[[#This Row],[Position 2021]],1))</f>
        <v/>
      </c>
      <c r="F365" s="56" t="e">
        <f>IF(ISNA(Tableau6[[#This Row],[Position 2021]]),Tableau6[[#This Row],[Position 2021]],Tableau6[[#This Row],[2021]]-E$2)</f>
        <v>#N/A</v>
      </c>
      <c r="G365" s="35" t="e">
        <f>MATCH(Tableau6[Jours Mois]&amp;"/"&amp;Tableau6[[#Headers],[2022]],tabSuiviConso[Jour Mois Année],0)</f>
        <v>#N/A</v>
      </c>
      <c r="H365" s="35" t="str">
        <f>IF(ISNA(Tableau6[[#This Row],[Position 2022]]),"",INDEX(tabSuiviConso[HP + HC
cumul],Tableau6[[#This Row],[Position 2022]],1))</f>
        <v/>
      </c>
      <c r="I365" s="56" t="e">
        <f>IF(ISNA(Tableau6[[#This Row],[Position 2022]]),Tableau6[[#This Row],[Position 2022]],Tableau6[[#This Row],[2022]]-H$2)</f>
        <v>#N/A</v>
      </c>
      <c r="J365" s="35" t="e">
        <f>MATCH(Tableau6[Jours Mois]&amp;"/"&amp;Tableau6[[#Headers],[2023]],tabSuiviConso[Jour Mois Année],0)</f>
        <v>#N/A</v>
      </c>
      <c r="K365" s="35" t="e">
        <f>Tableau6[[#This Row],[Cumul 2022]]-Tableau6[[#This Row],[Cumul 2021]]</f>
        <v>#N/A</v>
      </c>
      <c r="L365" s="37" t="e">
        <f>Tableau6[[#This Row],[Ecart 2021 2022]]/Tableau6[[#This Row],[Cumul 2021]]</f>
        <v>#N/A</v>
      </c>
      <c r="M365" s="35" t="str">
        <f>IF(ISNA(Tableau6[[#This Row],[Position 2023]]),"",INDEX(tabSuiviConso[HP + HC
cumul],Tableau6[[#This Row],[Position 2023]],1))</f>
        <v/>
      </c>
      <c r="N365" s="56" t="e">
        <f>IF(ISNA(Tableau6[[#This Row],[Position 2023]]),Tableau6[[#This Row],[Position 2023]],Tableau6[[#This Row],[2023]]-M$2)</f>
        <v>#N/A</v>
      </c>
      <c r="O365" s="35" t="e">
        <f>Tableau6[[#This Row],[Cumul 2023]]-Tableau6[[#This Row],[Cumul 2022]]</f>
        <v>#N/A</v>
      </c>
      <c r="P365" s="37" t="e">
        <f>Tableau6[[#This Row],[Ecart 2022 2023]]/Tableau6[[#This Row],[Cumul 2022]]</f>
        <v>#N/A</v>
      </c>
      <c r="Q365" s="35" t="e">
        <f>MATCH(Tableau6[Jours Mois]&amp;"/"&amp;Tableau6[[#Headers],[2024]],tabSuiviConso[Jour Mois Année],0)</f>
        <v>#N/A</v>
      </c>
      <c r="R365" s="35" t="str">
        <f>IF(ISNA(Tableau6[[#This Row],[Position 2024]]),"",INDEX(tabSuiviConso[HP + HC
cumul],Tableau6[[#This Row],[Position 2024]],1))</f>
        <v/>
      </c>
      <c r="S365" s="56" t="e">
        <f>IF(ISNA(Tableau6[[#This Row],[Position 2024]]),Tableau6[[#This Row],[Position 2024]],Tableau6[[#This Row],[2024]]-R$2)</f>
        <v>#N/A</v>
      </c>
      <c r="T365" s="35" t="e">
        <f>Tableau6[[#This Row],[Cumul 2024]]-Tableau6[[#This Row],[Cumul 2023]]</f>
        <v>#N/A</v>
      </c>
      <c r="U365" s="36" t="e">
        <f>Tableau6[[#This Row],[Ecart 2023 2024]]/Tableau6[[#This Row],[Cumul 2023]]</f>
        <v>#N/A</v>
      </c>
    </row>
    <row r="366" spans="1:21" x14ac:dyDescent="0.2">
      <c r="A366" s="35">
        <v>12</v>
      </c>
      <c r="B366" s="35">
        <v>29</v>
      </c>
      <c r="C366" s="35" t="str">
        <f>Tableau6[Jour]&amp;"/"&amp;Tableau6[Mois]</f>
        <v>29/12</v>
      </c>
      <c r="D366" s="35" t="e">
        <f>MATCH(Tableau6[Jours Mois]&amp;"/"&amp;Tableau6[[#Headers],[2021]],tabSuiviConso[Jour Mois Année],0)</f>
        <v>#N/A</v>
      </c>
      <c r="E366" s="35" t="str">
        <f>IF(ISNA(Tableau6[[#This Row],[Position 2021]]),"",INDEX(tabSuiviConso[HP + HC
cumul],Tableau6[[#This Row],[Position 2021]],1))</f>
        <v/>
      </c>
      <c r="F366" s="56" t="e">
        <f>IF(ISNA(Tableau6[[#This Row],[Position 2021]]),Tableau6[[#This Row],[Position 2021]],Tableau6[[#This Row],[2021]]-E$2)</f>
        <v>#N/A</v>
      </c>
      <c r="G366" s="35" t="e">
        <f>MATCH(Tableau6[Jours Mois]&amp;"/"&amp;Tableau6[[#Headers],[2022]],tabSuiviConso[Jour Mois Année],0)</f>
        <v>#N/A</v>
      </c>
      <c r="H366" s="35" t="str">
        <f>IF(ISNA(Tableau6[[#This Row],[Position 2022]]),"",INDEX(tabSuiviConso[HP + HC
cumul],Tableau6[[#This Row],[Position 2022]],1))</f>
        <v/>
      </c>
      <c r="I366" s="56" t="e">
        <f>IF(ISNA(Tableau6[[#This Row],[Position 2022]]),Tableau6[[#This Row],[Position 2022]],Tableau6[[#This Row],[2022]]-H$2)</f>
        <v>#N/A</v>
      </c>
      <c r="J366" s="35" t="e">
        <f>MATCH(Tableau6[Jours Mois]&amp;"/"&amp;Tableau6[[#Headers],[2023]],tabSuiviConso[Jour Mois Année],0)</f>
        <v>#N/A</v>
      </c>
      <c r="K366" s="35" t="e">
        <f>Tableau6[[#This Row],[Cumul 2022]]-Tableau6[[#This Row],[Cumul 2021]]</f>
        <v>#N/A</v>
      </c>
      <c r="L366" s="37" t="e">
        <f>Tableau6[[#This Row],[Ecart 2021 2022]]/Tableau6[[#This Row],[Cumul 2021]]</f>
        <v>#N/A</v>
      </c>
      <c r="M366" s="35" t="str">
        <f>IF(ISNA(Tableau6[[#This Row],[Position 2023]]),"",INDEX(tabSuiviConso[HP + HC
cumul],Tableau6[[#This Row],[Position 2023]],1))</f>
        <v/>
      </c>
      <c r="N366" s="56" t="e">
        <f>IF(ISNA(Tableau6[[#This Row],[Position 2023]]),Tableau6[[#This Row],[Position 2023]],Tableau6[[#This Row],[2023]]-M$2)</f>
        <v>#N/A</v>
      </c>
      <c r="O366" s="35" t="e">
        <f>Tableau6[[#This Row],[Cumul 2023]]-Tableau6[[#This Row],[Cumul 2022]]</f>
        <v>#N/A</v>
      </c>
      <c r="P366" s="37" t="e">
        <f>Tableau6[[#This Row],[Ecart 2022 2023]]/Tableau6[[#This Row],[Cumul 2022]]</f>
        <v>#N/A</v>
      </c>
      <c r="Q366" s="35" t="e">
        <f>MATCH(Tableau6[Jours Mois]&amp;"/"&amp;Tableau6[[#Headers],[2024]],tabSuiviConso[Jour Mois Année],0)</f>
        <v>#N/A</v>
      </c>
      <c r="R366" s="35" t="str">
        <f>IF(ISNA(Tableau6[[#This Row],[Position 2024]]),"",INDEX(tabSuiviConso[HP + HC
cumul],Tableau6[[#This Row],[Position 2024]],1))</f>
        <v/>
      </c>
      <c r="S366" s="56" t="e">
        <f>IF(ISNA(Tableau6[[#This Row],[Position 2024]]),Tableau6[[#This Row],[Position 2024]],Tableau6[[#This Row],[2024]]-R$2)</f>
        <v>#N/A</v>
      </c>
      <c r="T366" s="35" t="e">
        <f>Tableau6[[#This Row],[Cumul 2024]]-Tableau6[[#This Row],[Cumul 2023]]</f>
        <v>#N/A</v>
      </c>
      <c r="U366" s="36" t="e">
        <f>Tableau6[[#This Row],[Ecart 2023 2024]]/Tableau6[[#This Row],[Cumul 2023]]</f>
        <v>#N/A</v>
      </c>
    </row>
    <row r="367" spans="1:21" x14ac:dyDescent="0.2">
      <c r="A367" s="35">
        <v>12</v>
      </c>
      <c r="B367" s="35">
        <v>30</v>
      </c>
      <c r="C367" s="35" t="str">
        <f>Tableau6[Jour]&amp;"/"&amp;Tableau6[Mois]</f>
        <v>30/12</v>
      </c>
      <c r="D367" s="35" t="e">
        <f>MATCH(Tableau6[Jours Mois]&amp;"/"&amp;Tableau6[[#Headers],[2021]],tabSuiviConso[Jour Mois Année],0)</f>
        <v>#N/A</v>
      </c>
      <c r="E367" s="35" t="str">
        <f>IF(ISNA(Tableau6[[#This Row],[Position 2021]]),"",INDEX(tabSuiviConso[HP + HC
cumul],Tableau6[[#This Row],[Position 2021]],1))</f>
        <v/>
      </c>
      <c r="F367" s="56" t="e">
        <f>IF(ISNA(Tableau6[[#This Row],[Position 2021]]),Tableau6[[#This Row],[Position 2021]],Tableau6[[#This Row],[2021]]-E$2)</f>
        <v>#N/A</v>
      </c>
      <c r="G367" s="35" t="e">
        <f>MATCH(Tableau6[Jours Mois]&amp;"/"&amp;Tableau6[[#Headers],[2022]],tabSuiviConso[Jour Mois Année],0)</f>
        <v>#N/A</v>
      </c>
      <c r="H367" s="35" t="str">
        <f>IF(ISNA(Tableau6[[#This Row],[Position 2022]]),"",INDEX(tabSuiviConso[HP + HC
cumul],Tableau6[[#This Row],[Position 2022]],1))</f>
        <v/>
      </c>
      <c r="I367" s="56" t="e">
        <f>IF(ISNA(Tableau6[[#This Row],[Position 2022]]),Tableau6[[#This Row],[Position 2022]],Tableau6[[#This Row],[2022]]-H$2)</f>
        <v>#N/A</v>
      </c>
      <c r="J367" s="35" t="e">
        <f>MATCH(Tableau6[Jours Mois]&amp;"/"&amp;Tableau6[[#Headers],[2023]],tabSuiviConso[Jour Mois Année],0)</f>
        <v>#N/A</v>
      </c>
      <c r="K367" s="35" t="e">
        <f>Tableau6[[#This Row],[Cumul 2022]]-Tableau6[[#This Row],[Cumul 2021]]</f>
        <v>#N/A</v>
      </c>
      <c r="L367" s="37" t="e">
        <f>Tableau6[[#This Row],[Ecart 2021 2022]]/Tableau6[[#This Row],[Cumul 2021]]</f>
        <v>#N/A</v>
      </c>
      <c r="M367" s="35" t="str">
        <f>IF(ISNA(Tableau6[[#This Row],[Position 2023]]),"",INDEX(tabSuiviConso[HP + HC
cumul],Tableau6[[#This Row],[Position 2023]],1))</f>
        <v/>
      </c>
      <c r="N367" s="56" t="e">
        <f>IF(ISNA(Tableau6[[#This Row],[Position 2023]]),Tableau6[[#This Row],[Position 2023]],Tableau6[[#This Row],[2023]]-M$2)</f>
        <v>#N/A</v>
      </c>
      <c r="O367" s="35" t="e">
        <f>Tableau6[[#This Row],[Cumul 2023]]-Tableau6[[#This Row],[Cumul 2022]]</f>
        <v>#N/A</v>
      </c>
      <c r="P367" s="37" t="e">
        <f>Tableau6[[#This Row],[Ecart 2022 2023]]/Tableau6[[#This Row],[Cumul 2022]]</f>
        <v>#N/A</v>
      </c>
      <c r="Q367" s="35" t="e">
        <f>MATCH(Tableau6[Jours Mois]&amp;"/"&amp;Tableau6[[#Headers],[2024]],tabSuiviConso[Jour Mois Année],0)</f>
        <v>#N/A</v>
      </c>
      <c r="R367" s="35" t="str">
        <f>IF(ISNA(Tableau6[[#This Row],[Position 2024]]),"",INDEX(tabSuiviConso[HP + HC
cumul],Tableau6[[#This Row],[Position 2024]],1))</f>
        <v/>
      </c>
      <c r="S367" s="56" t="e">
        <f>IF(ISNA(Tableau6[[#This Row],[Position 2024]]),Tableau6[[#This Row],[Position 2024]],Tableau6[[#This Row],[2024]]-R$2)</f>
        <v>#N/A</v>
      </c>
      <c r="T367" s="35" t="e">
        <f>Tableau6[[#This Row],[Cumul 2024]]-Tableau6[[#This Row],[Cumul 2023]]</f>
        <v>#N/A</v>
      </c>
      <c r="U367" s="36" t="e">
        <f>Tableau6[[#This Row],[Ecart 2023 2024]]/Tableau6[[#This Row],[Cumul 2023]]</f>
        <v>#N/A</v>
      </c>
    </row>
    <row r="368" spans="1:21" x14ac:dyDescent="0.2">
      <c r="A368" s="35">
        <v>12</v>
      </c>
      <c r="B368" s="35">
        <v>31</v>
      </c>
      <c r="C368" s="35" t="str">
        <f>Tableau6[Jour]&amp;"/"&amp;Tableau6[Mois]</f>
        <v>31/12</v>
      </c>
      <c r="D368" s="35" t="e">
        <f>MATCH(Tableau6[Jours Mois]&amp;"/"&amp;Tableau6[[#Headers],[2021]],tabSuiviConso[Jour Mois Année],0)</f>
        <v>#N/A</v>
      </c>
      <c r="E368" s="35" t="str">
        <f>IF(ISNA(Tableau6[[#This Row],[Position 2021]]),"",INDEX(tabSuiviConso[HP + HC
cumul],Tableau6[[#This Row],[Position 2021]],1))</f>
        <v/>
      </c>
      <c r="F368" s="56" t="e">
        <f>IF(ISNA(Tableau6[[#This Row],[Position 2021]]),Tableau6[[#This Row],[Position 2021]],Tableau6[[#This Row],[2021]]-E$2)</f>
        <v>#N/A</v>
      </c>
      <c r="G368" s="35" t="e">
        <f>MATCH(Tableau6[Jours Mois]&amp;"/"&amp;Tableau6[[#Headers],[2022]],tabSuiviConso[Jour Mois Année],0)</f>
        <v>#N/A</v>
      </c>
      <c r="H368" s="35" t="str">
        <f>IF(ISNA(Tableau6[[#This Row],[Position 2022]]),"",INDEX(tabSuiviConso[HP + HC
cumul],Tableau6[[#This Row],[Position 2022]],1))</f>
        <v/>
      </c>
      <c r="I368" s="56" t="e">
        <f>IF(ISNA(Tableau6[[#This Row],[Position 2022]]),Tableau6[[#This Row],[Position 2022]],Tableau6[[#This Row],[2022]]-H$2)</f>
        <v>#N/A</v>
      </c>
      <c r="J368" s="35" t="e">
        <f>MATCH(Tableau6[Jours Mois]&amp;"/"&amp;Tableau6[[#Headers],[2023]],tabSuiviConso[Jour Mois Année],0)</f>
        <v>#N/A</v>
      </c>
      <c r="K368" s="35" t="e">
        <f>Tableau6[[#This Row],[Cumul 2022]]-Tableau6[[#This Row],[Cumul 2021]]</f>
        <v>#N/A</v>
      </c>
      <c r="L368" s="37" t="e">
        <f>Tableau6[[#This Row],[Ecart 2021 2022]]/Tableau6[[#This Row],[Cumul 2021]]</f>
        <v>#N/A</v>
      </c>
      <c r="M368" s="35" t="str">
        <f>IF(ISNA(Tableau6[[#This Row],[Position 2023]]),"",INDEX(tabSuiviConso[HP + HC
cumul],Tableau6[[#This Row],[Position 2023]],1))</f>
        <v/>
      </c>
      <c r="N368" s="56" t="e">
        <f>IF(ISNA(Tableau6[[#This Row],[Position 2023]]),Tableau6[[#This Row],[Position 2023]],Tableau6[[#This Row],[2023]]-M$2)</f>
        <v>#N/A</v>
      </c>
      <c r="O368" s="35" t="e">
        <f>Tableau6[[#This Row],[Cumul 2023]]-Tableau6[[#This Row],[Cumul 2022]]</f>
        <v>#N/A</v>
      </c>
      <c r="P368" s="37" t="e">
        <f>Tableau6[[#This Row],[Ecart 2022 2023]]/Tableau6[[#This Row],[Cumul 2022]]</f>
        <v>#N/A</v>
      </c>
      <c r="Q368" s="35" t="e">
        <f>MATCH(Tableau6[Jours Mois]&amp;"/"&amp;Tableau6[[#Headers],[2024]],tabSuiviConso[Jour Mois Année],0)</f>
        <v>#N/A</v>
      </c>
      <c r="R368" s="35" t="str">
        <f>IF(ISNA(Tableau6[[#This Row],[Position 2024]]),"",INDEX(tabSuiviConso[HP + HC
cumul],Tableau6[[#This Row],[Position 2024]],1))</f>
        <v/>
      </c>
      <c r="S368" s="56" t="e">
        <f>IF(ISNA(Tableau6[[#This Row],[Position 2024]]),Tableau6[[#This Row],[Position 2024]],Tableau6[[#This Row],[2024]]-R$2)</f>
        <v>#N/A</v>
      </c>
      <c r="T368" s="35" t="e">
        <f>Tableau6[[#This Row],[Cumul 2024]]-Tableau6[[#This Row],[Cumul 2023]]</f>
        <v>#N/A</v>
      </c>
      <c r="U368" s="36" t="e">
        <f>Tableau6[[#This Row],[Ecart 2023 2024]]/Tableau6[[#This Row],[Cumul 2023]]</f>
        <v>#N/A</v>
      </c>
    </row>
  </sheetData>
  <sheetProtection autoFilter="0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showGridLines="0" zoomScaleNormal="100" workbookViewId="0">
      <selection activeCell="B18" sqref="B18"/>
    </sheetView>
  </sheetViews>
  <sheetFormatPr baseColWidth="10" defaultRowHeight="11.25" x14ac:dyDescent="0.2"/>
  <cols>
    <col min="1" max="1" width="10" style="19" bestFit="1" customWidth="1"/>
    <col min="2" max="2" width="18.85546875" style="19" bestFit="1" customWidth="1"/>
    <col min="3" max="16384" width="11.42578125" style="19"/>
  </cols>
  <sheetData>
    <row r="1" spans="1:2" ht="22.5" x14ac:dyDescent="0.2">
      <c r="A1" s="19" t="s">
        <v>73</v>
      </c>
      <c r="B1" s="44" t="s">
        <v>106</v>
      </c>
    </row>
    <row r="2" spans="1:2" x14ac:dyDescent="0.2">
      <c r="A2" s="19" t="s">
        <v>86</v>
      </c>
      <c r="B2" s="61" t="e">
        <f>AVERAGEIF(tabSuiviConso[Jour lettre],Tableau791011[[#This Row],[Jour]],tabSuiviConso[Conso HP + HC / jour_x000D_
Instantané])</f>
        <v>#VALUE!</v>
      </c>
    </row>
    <row r="3" spans="1:2" x14ac:dyDescent="0.2">
      <c r="A3" s="19" t="s">
        <v>87</v>
      </c>
      <c r="B3" s="61">
        <f>AVERAGEIF(tabSuiviConso[Jour lettre],Tableau791011[[#This Row],[Jour]],tabSuiviConso[Conso HP + HC / jour_x000D_
Instantané])</f>
        <v>62.765035875069231</v>
      </c>
    </row>
    <row r="4" spans="1:2" x14ac:dyDescent="0.2">
      <c r="A4" s="19" t="s">
        <v>88</v>
      </c>
      <c r="B4" s="61">
        <f>AVERAGEIF(tabSuiviConso[Jour lettre],Tableau791011[[#This Row],[Jour]],tabSuiviConso[Conso HP + HC / jour_x000D_
Instantané])</f>
        <v>67.181965216630857</v>
      </c>
    </row>
    <row r="5" spans="1:2" x14ac:dyDescent="0.2">
      <c r="A5" s="19" t="s">
        <v>89</v>
      </c>
      <c r="B5" s="61">
        <f>AVERAGEIF(tabSuiviConso[Jour lettre],Tableau791011[[#This Row],[Jour]],tabSuiviConso[Conso HP + HC / jour_x000D_
Instantané])</f>
        <v>60.392335612458389</v>
      </c>
    </row>
    <row r="6" spans="1:2" x14ac:dyDescent="0.2">
      <c r="A6" s="35" t="s">
        <v>90</v>
      </c>
      <c r="B6" s="61">
        <f>AVERAGEIF(tabSuiviConso[Jour lettre],Tableau791011[[#This Row],[Jour]],tabSuiviConso[Conso HP + HC / jour_x000D_
Instantané])</f>
        <v>69.781979357361621</v>
      </c>
    </row>
    <row r="7" spans="1:2" x14ac:dyDescent="0.2">
      <c r="A7" s="35" t="s">
        <v>91</v>
      </c>
      <c r="B7" s="61">
        <f>AVERAGEIF(tabSuiviConso[Jour lettre],Tableau791011[[#This Row],[Jour]],tabSuiviConso[Conso HP + HC / jour_x000D_
Instantané])</f>
        <v>60.212014134176542</v>
      </c>
    </row>
    <row r="8" spans="1:2" x14ac:dyDescent="0.2">
      <c r="A8" s="35" t="s">
        <v>92</v>
      </c>
      <c r="B8" s="61">
        <f>AVERAGEIF(tabSuiviConso[Jour lettre],Tableau791011[[#This Row],[Jour]],tabSuiviConso[Conso HP + HC / jour_x000D_
Instantané])</f>
        <v>62.977291841933265</v>
      </c>
    </row>
    <row r="9" spans="1:2" x14ac:dyDescent="0.2">
      <c r="B9" s="60"/>
    </row>
    <row r="10" spans="1:2" x14ac:dyDescent="0.2">
      <c r="B10" s="60"/>
    </row>
    <row r="11" spans="1:2" x14ac:dyDescent="0.2">
      <c r="B11" s="60"/>
    </row>
    <row r="12" spans="1:2" x14ac:dyDescent="0.2">
      <c r="B12" s="60"/>
    </row>
    <row r="13" spans="1:2" x14ac:dyDescent="0.2">
      <c r="B13" s="60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32"/>
  <sheetViews>
    <sheetView showGridLines="0" showRowColHeaders="0" workbookViewId="0">
      <selection activeCell="B2" sqref="B2:B32"/>
    </sheetView>
  </sheetViews>
  <sheetFormatPr baseColWidth="10" defaultRowHeight="11.25" x14ac:dyDescent="0.2"/>
  <cols>
    <col min="1" max="1" width="8.42578125" style="19" bestFit="1" customWidth="1"/>
    <col min="2" max="2" width="8.85546875" style="19" bestFit="1" customWidth="1"/>
    <col min="3" max="6" width="10.42578125" style="19" bestFit="1" customWidth="1"/>
    <col min="7" max="16384" width="11.42578125" style="19"/>
  </cols>
  <sheetData>
    <row r="1" spans="1:6" x14ac:dyDescent="0.2">
      <c r="A1" s="19" t="s">
        <v>73</v>
      </c>
      <c r="B1" s="19" t="s">
        <v>8</v>
      </c>
      <c r="C1" s="19" t="s">
        <v>75</v>
      </c>
      <c r="D1" s="19" t="s">
        <v>76</v>
      </c>
      <c r="E1" s="19" t="s">
        <v>77</v>
      </c>
      <c r="F1" s="19" t="s">
        <v>95</v>
      </c>
    </row>
    <row r="2" spans="1:6" x14ac:dyDescent="0.2">
      <c r="A2" s="19">
        <v>1</v>
      </c>
      <c r="B2" s="19">
        <v>12</v>
      </c>
      <c r="C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" spans="1:6" x14ac:dyDescent="0.2">
      <c r="A3" s="19">
        <v>2</v>
      </c>
      <c r="B3" s="19">
        <v>12</v>
      </c>
      <c r="C3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4" spans="1:6" x14ac:dyDescent="0.2">
      <c r="A4" s="19">
        <v>3</v>
      </c>
      <c r="B4" s="19">
        <v>12</v>
      </c>
      <c r="C4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4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4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4" s="59" t="e">
        <f>INDEX(tabSuiviConso[Conso HP + HC / jour_x000D_
Instantané],MATCH(Tableau7[[#This Row],[Jour]]&amp;"/"&amp;Tableau7[[#This Row],[Mois]]&amp;"/"&amp;Tableau7[[#Headers],[2024]],tabSuiviConso[Jour Mois Année],0),1)</f>
        <v>#VALUE!</v>
      </c>
    </row>
    <row r="5" spans="1:6" x14ac:dyDescent="0.2">
      <c r="A5" s="19">
        <v>4</v>
      </c>
      <c r="B5" s="19">
        <v>12</v>
      </c>
      <c r="C5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5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5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5" s="59">
        <f>INDEX(tabSuiviConso[Conso HP + HC / jour_x000D_
Instantané],MATCH(Tableau7[[#This Row],[Jour]]&amp;"/"&amp;Tableau7[[#This Row],[Mois]]&amp;"/"&amp;Tableau7[[#Headers],[2024]],tabSuiviConso[Jour Mois Année],0),1)</f>
        <v>60.788927335836036</v>
      </c>
    </row>
    <row r="6" spans="1:6" x14ac:dyDescent="0.2">
      <c r="A6" s="19">
        <v>5</v>
      </c>
      <c r="B6" s="19">
        <v>12</v>
      </c>
      <c r="C6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6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6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6" s="59">
        <f>INDEX(tabSuiviConso[Conso HP + HC / jour_x000D_
Instantané],MATCH(Tableau7[[#This Row],[Jour]]&amp;"/"&amp;Tableau7[[#This Row],[Mois]]&amp;"/"&amp;Tableau7[[#Headers],[2024]],tabSuiviConso[Jour Mois Année],0),1)</f>
        <v>60.283592167132191</v>
      </c>
    </row>
    <row r="7" spans="1:6" x14ac:dyDescent="0.2">
      <c r="A7" s="19">
        <v>6</v>
      </c>
      <c r="B7" s="19">
        <v>12</v>
      </c>
      <c r="C7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7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7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7" s="59">
        <f>INDEX(tabSuiviConso[Conso HP + HC / jour_x000D_
Instantané],MATCH(Tableau7[[#This Row],[Jour]]&amp;"/"&amp;Tableau7[[#This Row],[Mois]]&amp;"/"&amp;Tableau7[[#Headers],[2024]],tabSuiviConso[Jour Mois Année],0),1)</f>
        <v>45.575757575757578</v>
      </c>
    </row>
    <row r="8" spans="1:6" x14ac:dyDescent="0.2">
      <c r="A8" s="19">
        <v>7</v>
      </c>
      <c r="B8" s="19">
        <v>12</v>
      </c>
      <c r="C8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8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8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8" s="59">
        <f>INDEX(tabSuiviConso[Conso HP + HC / jour_x000D_
Instantané],MATCH(Tableau7[[#This Row],[Jour]]&amp;"/"&amp;Tableau7[[#This Row],[Mois]]&amp;"/"&amp;Tableau7[[#Headers],[2024]],tabSuiviConso[Jour Mois Année],0),1)</f>
        <v>36.053019145944823</v>
      </c>
    </row>
    <row r="9" spans="1:6" x14ac:dyDescent="0.2">
      <c r="A9" s="19">
        <v>8</v>
      </c>
      <c r="B9" s="19">
        <v>12</v>
      </c>
      <c r="C9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9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9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9" s="59">
        <f>INDEX(tabSuiviConso[Conso HP + HC / jour_x000D_
Instantané],MATCH(Tableau7[[#This Row],[Jour]]&amp;"/"&amp;Tableau7[[#This Row],[Mois]]&amp;"/"&amp;Tableau7[[#Headers],[2024]],tabSuiviConso[Jour Mois Année],0),1)</f>
        <v>60.212014134176542</v>
      </c>
    </row>
    <row r="10" spans="1:6" x14ac:dyDescent="0.2">
      <c r="A10" s="19">
        <v>9</v>
      </c>
      <c r="B10" s="19">
        <v>12</v>
      </c>
      <c r="C10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0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0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0" s="59">
        <f>INDEX(tabSuiviConso[Conso HP + HC / jour_x000D_
Instantané],MATCH(Tableau7[[#This Row],[Jour]]&amp;"/"&amp;Tableau7[[#This Row],[Mois]]&amp;"/"&amp;Tableau7[[#Headers],[2024]],tabSuiviConso[Jour Mois Année],0),1)</f>
        <v>62.977291841933265</v>
      </c>
    </row>
    <row r="11" spans="1:6" x14ac:dyDescent="0.2">
      <c r="A11" s="19">
        <v>10</v>
      </c>
      <c r="B11" s="19">
        <v>12</v>
      </c>
      <c r="C11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1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1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1" s="59">
        <f>INDEX(tabSuiviConso[Conso HP + HC / jour_x000D_
Instantané],MATCH(Tableau7[[#This Row],[Jour]]&amp;"/"&amp;Tableau7[[#This Row],[Mois]]&amp;"/"&amp;Tableau7[[#Headers],[2024]],tabSuiviConso[Jour Mois Année],0),1)</f>
        <v>66.415094339525382</v>
      </c>
    </row>
    <row r="12" spans="1:6" x14ac:dyDescent="0.2">
      <c r="A12" s="19">
        <v>11</v>
      </c>
      <c r="B12" s="19">
        <v>12</v>
      </c>
      <c r="C1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2" s="59">
        <f>INDEX(tabSuiviConso[Conso HP + HC / jour_x000D_
Instantané],MATCH(Tableau7[[#This Row],[Jour]]&amp;"/"&amp;Tableau7[[#This Row],[Mois]]&amp;"/"&amp;Tableau7[[#Headers],[2024]],tabSuiviConso[Jour Mois Année],0),1)</f>
        <v>64.741144414302426</v>
      </c>
    </row>
    <row r="13" spans="1:6" x14ac:dyDescent="0.2">
      <c r="A13" s="19">
        <v>12</v>
      </c>
      <c r="B13" s="19">
        <v>12</v>
      </c>
      <c r="C13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3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3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3" s="59">
        <f>INDEX(tabSuiviConso[Conso HP + HC / jour_x000D_
Instantané],MATCH(Tableau7[[#This Row],[Jour]]&amp;"/"&amp;Tableau7[[#This Row],[Mois]]&amp;"/"&amp;Tableau7[[#Headers],[2024]],tabSuiviConso[Jour Mois Année],0),1)</f>
        <v>74.080338266129516</v>
      </c>
    </row>
    <row r="14" spans="1:6" x14ac:dyDescent="0.2">
      <c r="A14" s="19">
        <v>13</v>
      </c>
      <c r="B14" s="19">
        <v>12</v>
      </c>
      <c r="C14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4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4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4" s="59">
        <f>INDEX(tabSuiviConso[Conso HP + HC / jour_x000D_
Instantané],MATCH(Tableau7[[#This Row],[Jour]]&amp;"/"&amp;Tableau7[[#This Row],[Mois]]&amp;"/"&amp;Tableau7[[#Headers],[2024]],tabSuiviConso[Jour Mois Année],0),1)</f>
        <v>75.2089136491592</v>
      </c>
    </row>
    <row r="15" spans="1:6" x14ac:dyDescent="0.2">
      <c r="A15" s="19">
        <v>14</v>
      </c>
      <c r="B15" s="19">
        <v>12</v>
      </c>
      <c r="C15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5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5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5" s="59">
        <f>INDEX(tabSuiviConso[Conso HP + HC / jour_x000D_
Instantané],MATCH(Tableau7[[#This Row],[Jour]]&amp;"/"&amp;Tableau7[[#This Row],[Mois]]&amp;"/"&amp;Tableau7[[#Headers],[2024]],tabSuiviConso[Jour Mois Année],0),1)</f>
        <v>115.14313919033795</v>
      </c>
    </row>
    <row r="16" spans="1:6" x14ac:dyDescent="0.2">
      <c r="A16" s="19">
        <v>15</v>
      </c>
      <c r="B16" s="19">
        <v>12</v>
      </c>
      <c r="C16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6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6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6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7" spans="1:6" x14ac:dyDescent="0.2">
      <c r="A17" s="19">
        <v>16</v>
      </c>
      <c r="B17" s="19">
        <v>12</v>
      </c>
      <c r="C17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7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7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7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8" spans="1:6" x14ac:dyDescent="0.2">
      <c r="A18" s="19">
        <v>17</v>
      </c>
      <c r="B18" s="19">
        <v>12</v>
      </c>
      <c r="C18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8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8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8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9" spans="1:6" x14ac:dyDescent="0.2">
      <c r="A19" s="19">
        <v>18</v>
      </c>
      <c r="B19" s="19">
        <v>12</v>
      </c>
      <c r="C19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9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9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9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0" spans="1:6" x14ac:dyDescent="0.2">
      <c r="A20" s="19">
        <v>19</v>
      </c>
      <c r="B20" s="19">
        <v>12</v>
      </c>
      <c r="C20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0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0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0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1" spans="1:6" x14ac:dyDescent="0.2">
      <c r="A21" s="19">
        <v>20</v>
      </c>
      <c r="B21" s="19">
        <v>12</v>
      </c>
      <c r="C21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1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1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1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2" spans="1:6" x14ac:dyDescent="0.2">
      <c r="A22" s="19">
        <v>21</v>
      </c>
      <c r="B22" s="19">
        <v>12</v>
      </c>
      <c r="C2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2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3" spans="1:6" x14ac:dyDescent="0.2">
      <c r="A23" s="19">
        <v>22</v>
      </c>
      <c r="B23" s="19">
        <v>12</v>
      </c>
      <c r="C23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3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3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3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4" spans="1:6" x14ac:dyDescent="0.2">
      <c r="A24" s="19">
        <v>23</v>
      </c>
      <c r="B24" s="19">
        <v>12</v>
      </c>
      <c r="C24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4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4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4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5" spans="1:6" x14ac:dyDescent="0.2">
      <c r="A25" s="19">
        <v>24</v>
      </c>
      <c r="B25" s="19">
        <v>12</v>
      </c>
      <c r="C25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5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5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5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6" spans="1:6" x14ac:dyDescent="0.2">
      <c r="A26" s="19">
        <v>25</v>
      </c>
      <c r="B26" s="19">
        <v>12</v>
      </c>
      <c r="C26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6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6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6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7" spans="1:6" x14ac:dyDescent="0.2">
      <c r="A27" s="19">
        <v>26</v>
      </c>
      <c r="B27" s="19">
        <v>12</v>
      </c>
      <c r="C27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7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7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7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8" spans="1:6" x14ac:dyDescent="0.2">
      <c r="A28" s="19">
        <v>27</v>
      </c>
      <c r="B28" s="19">
        <v>12</v>
      </c>
      <c r="C28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8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8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8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9" spans="1:6" x14ac:dyDescent="0.2">
      <c r="A29" s="19">
        <v>28</v>
      </c>
      <c r="B29" s="19">
        <v>12</v>
      </c>
      <c r="C29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9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9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9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0" spans="1:6" x14ac:dyDescent="0.2">
      <c r="A30" s="19">
        <v>29</v>
      </c>
      <c r="B30" s="19">
        <v>12</v>
      </c>
      <c r="C30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0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0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0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1" spans="1:6" x14ac:dyDescent="0.2">
      <c r="A31" s="19">
        <v>30</v>
      </c>
      <c r="B31" s="19">
        <v>12</v>
      </c>
      <c r="C31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1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1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1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2" spans="1:6" x14ac:dyDescent="0.2">
      <c r="A32" s="19">
        <v>31</v>
      </c>
      <c r="B32" s="19">
        <v>12</v>
      </c>
      <c r="C3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2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33"/>
  <sheetViews>
    <sheetView showGridLines="0" topLeftCell="A38" workbookViewId="0">
      <selection activeCell="W124" sqref="W124"/>
    </sheetView>
  </sheetViews>
  <sheetFormatPr baseColWidth="10" defaultRowHeight="11.25" x14ac:dyDescent="0.2"/>
  <cols>
    <col min="1" max="1" width="8.42578125" style="19" bestFit="1" customWidth="1"/>
    <col min="2" max="2" width="12" style="19" bestFit="1" customWidth="1"/>
    <col min="3" max="3" width="12.140625" style="19" bestFit="1" customWidth="1"/>
    <col min="4" max="4" width="9" style="19" bestFit="1" customWidth="1"/>
    <col min="5" max="5" width="12" style="19" bestFit="1" customWidth="1"/>
    <col min="6" max="6" width="12.140625" style="19" bestFit="1" customWidth="1"/>
    <col min="7" max="7" width="10.42578125" style="19" bestFit="1" customWidth="1"/>
    <col min="8" max="8" width="12" style="19" bestFit="1" customWidth="1"/>
    <col min="9" max="9" width="12.140625" style="19" bestFit="1" customWidth="1"/>
    <col min="10" max="10" width="10.42578125" style="19" bestFit="1" customWidth="1"/>
    <col min="11" max="11" width="10.85546875" style="19" bestFit="1" customWidth="1"/>
    <col min="12" max="16384" width="11.42578125" style="19"/>
  </cols>
  <sheetData>
    <row r="1" spans="1:11" x14ac:dyDescent="0.2">
      <c r="A1" s="19">
        <v>12</v>
      </c>
      <c r="B1" s="19">
        <v>2022</v>
      </c>
      <c r="C1" s="19">
        <v>2022</v>
      </c>
      <c r="D1" s="19">
        <v>2022</v>
      </c>
      <c r="E1" s="19">
        <v>2023</v>
      </c>
      <c r="F1" s="19">
        <v>2023</v>
      </c>
      <c r="G1" s="19">
        <v>2023</v>
      </c>
      <c r="H1" s="19">
        <v>2024</v>
      </c>
      <c r="I1" s="19">
        <v>2024</v>
      </c>
      <c r="J1" s="19">
        <v>2024</v>
      </c>
    </row>
    <row r="2" spans="1:11" x14ac:dyDescent="0.2">
      <c r="A2" s="19" t="s">
        <v>73</v>
      </c>
      <c r="B2" s="19" t="s">
        <v>124</v>
      </c>
      <c r="C2" s="19" t="s">
        <v>125</v>
      </c>
      <c r="D2" s="19" t="s">
        <v>76</v>
      </c>
      <c r="E2" s="19" t="s">
        <v>119</v>
      </c>
      <c r="F2" s="19" t="s">
        <v>120</v>
      </c>
      <c r="G2" s="19" t="s">
        <v>77</v>
      </c>
      <c r="H2" s="19" t="s">
        <v>121</v>
      </c>
      <c r="I2" s="19" t="s">
        <v>122</v>
      </c>
      <c r="J2" s="19" t="s">
        <v>95</v>
      </c>
      <c r="K2" s="35" t="s">
        <v>123</v>
      </c>
    </row>
    <row r="3" spans="1:11" x14ac:dyDescent="0.2">
      <c r="A3" s="19">
        <v>1</v>
      </c>
      <c r="B3" s="59" t="e">
        <f>INDEX(tabSuiviConso[Min],MATCH(Tableau72[[#This Row],[Jour]]&amp;"/"&amp;$A$1&amp;"/"&amp;B$1,tabSuiviConso[Jour Mois Année],0),1)</f>
        <v>#N/A</v>
      </c>
      <c r="C3" s="59" t="e">
        <f>INDEX(tabSuiviConso[Max],MATCH(Tableau72[[#This Row],[Jour]]&amp;"/"&amp;$A$1&amp;"/"&amp;C$1,tabSuiviConso[Jour Mois Année],0),1)</f>
        <v>#N/A</v>
      </c>
      <c r="D3" s="59" t="e">
        <f>INDEX(tabSuiviConso[Conso HP + HC / jour_x000D_
Instantané],MATCH(Tableau72[[#This Row],[Jour]]&amp;"/"&amp;$A$1&amp;"/"&amp;D$1,tabSuiviConso[Jour Mois Année],0),1)</f>
        <v>#N/A</v>
      </c>
      <c r="E3" s="59" t="e">
        <f>INDEX(tabSuiviConso[Min],MATCH(Tableau72[[#This Row],[Jour]]&amp;"/"&amp;$A$1&amp;"/"&amp;E$1,tabSuiviConso[Jour Mois Année],0),1)</f>
        <v>#N/A</v>
      </c>
      <c r="F3" s="59" t="e">
        <f>INDEX(tabSuiviConso[Max],MATCH(Tableau72[[#This Row],[Jour]]&amp;"/"&amp;$A$1&amp;"/"&amp;F$1,tabSuiviConso[Jour Mois Année],0),1)</f>
        <v>#N/A</v>
      </c>
      <c r="G3" s="59" t="e">
        <f>INDEX(tabSuiviConso[Conso HP + HC / jour_x000D_
Instantané],MATCH(Tableau72[[#This Row],[Jour]]&amp;"/"&amp;$A$1&amp;"/"&amp;G$1,tabSuiviConso[Jour Mois Année],0),1)</f>
        <v>#N/A</v>
      </c>
      <c r="H3" s="59" t="e">
        <f>INDEX(tabSuiviConso[Min],MATCH(Tableau72[[#This Row],[Jour]]&amp;"/"&amp;$A$1&amp;"/"&amp;H$1,tabSuiviConso[Jour Mois Année],0),1)</f>
        <v>#N/A</v>
      </c>
      <c r="I3" s="59" t="e">
        <f>INDEX(tabSuiviConso[Max],MATCH(Tableau72[[#This Row],[Jour]]&amp;"/"&amp;$A$1&amp;"/"&amp;I$1,tabSuiviConso[Jour Mois Année],0),1)</f>
        <v>#N/A</v>
      </c>
      <c r="J3" s="59" t="e">
        <f>INDEX(tabSuiviConso[Conso HP + HC / jour_x000D_
Instantané],MATCH(Tableau72[[#This Row],[Jour]]&amp;"/"&amp;$A$1&amp;"/"&amp;J$1,tabSuiviConso[Jour Mois Année],0),1)</f>
        <v>#N/A</v>
      </c>
      <c r="K3" s="93" t="e">
        <f>Tableau72[[#This Row],[2024]]-Tableau72[[#This Row],[2023]]</f>
        <v>#N/A</v>
      </c>
    </row>
    <row r="4" spans="1:11" x14ac:dyDescent="0.2">
      <c r="A4" s="19">
        <v>2</v>
      </c>
      <c r="B4" s="59" t="e">
        <f>INDEX(tabSuiviConso[Min],MATCH(Tableau72[[#This Row],[Jour]]&amp;"/"&amp;$A$1&amp;"/"&amp;B$1,tabSuiviConso[Jour Mois Année],0),1)</f>
        <v>#N/A</v>
      </c>
      <c r="C4" s="59" t="e">
        <f>INDEX(tabSuiviConso[Max],MATCH(Tableau72[[#This Row],[Jour]]&amp;"/"&amp;$A$1&amp;"/"&amp;C$1,tabSuiviConso[Jour Mois Année],0),1)</f>
        <v>#N/A</v>
      </c>
      <c r="D4" s="59" t="e">
        <f>INDEX(tabSuiviConso[Conso HP + HC / jour_x000D_
Instantané],MATCH(Tableau72[[#This Row],[Jour]]&amp;"/"&amp;$A$1&amp;"/"&amp;D$1,tabSuiviConso[Jour Mois Année],0),1)</f>
        <v>#N/A</v>
      </c>
      <c r="E4" s="59" t="e">
        <f>INDEX(tabSuiviConso[Min],MATCH(Tableau72[[#This Row],[Jour]]&amp;"/"&amp;$A$1&amp;"/"&amp;E$1,tabSuiviConso[Jour Mois Année],0),1)</f>
        <v>#N/A</v>
      </c>
      <c r="F4" s="59" t="e">
        <f>INDEX(tabSuiviConso[Max],MATCH(Tableau72[[#This Row],[Jour]]&amp;"/"&amp;$A$1&amp;"/"&amp;F$1,tabSuiviConso[Jour Mois Année],0),1)</f>
        <v>#N/A</v>
      </c>
      <c r="G4" s="59" t="e">
        <f>INDEX(tabSuiviConso[Conso HP + HC / jour_x000D_
Instantané],MATCH(Tableau72[[#This Row],[Jour]]&amp;"/"&amp;$A$1&amp;"/"&amp;G$1,tabSuiviConso[Jour Mois Année],0),1)</f>
        <v>#N/A</v>
      </c>
      <c r="H4" s="59" t="e">
        <f>INDEX(tabSuiviConso[Min],MATCH(Tableau72[[#This Row],[Jour]]&amp;"/"&amp;$A$1&amp;"/"&amp;H$1,tabSuiviConso[Jour Mois Année],0),1)</f>
        <v>#N/A</v>
      </c>
      <c r="I4" s="59" t="e">
        <f>INDEX(tabSuiviConso[Max],MATCH(Tableau72[[#This Row],[Jour]]&amp;"/"&amp;$A$1&amp;"/"&amp;I$1,tabSuiviConso[Jour Mois Année],0),1)</f>
        <v>#N/A</v>
      </c>
      <c r="J4" s="59" t="e">
        <f>INDEX(tabSuiviConso[Conso HP + HC / jour_x000D_
Instantané],MATCH(Tableau72[[#This Row],[Jour]]&amp;"/"&amp;$A$1&amp;"/"&amp;J$1,tabSuiviConso[Jour Mois Année],0),1)</f>
        <v>#N/A</v>
      </c>
      <c r="K4" s="93" t="e">
        <f>Tableau72[[#This Row],[2024]]-Tableau72[[#This Row],[2023]]</f>
        <v>#N/A</v>
      </c>
    </row>
    <row r="5" spans="1:11" x14ac:dyDescent="0.2">
      <c r="A5" s="19">
        <v>3</v>
      </c>
      <c r="B5" s="59" t="e">
        <f>INDEX(tabSuiviConso[Min],MATCH(Tableau72[[#This Row],[Jour]]&amp;"/"&amp;$A$1&amp;"/"&amp;B$1,tabSuiviConso[Jour Mois Année],0),1)</f>
        <v>#N/A</v>
      </c>
      <c r="C5" s="59" t="e">
        <f>INDEX(tabSuiviConso[Max],MATCH(Tableau72[[#This Row],[Jour]]&amp;"/"&amp;$A$1&amp;"/"&amp;C$1,tabSuiviConso[Jour Mois Année],0),1)</f>
        <v>#N/A</v>
      </c>
      <c r="D5" s="59" t="e">
        <f>INDEX(tabSuiviConso[Conso HP + HC / jour_x000D_
Instantané],MATCH(Tableau72[[#This Row],[Jour]]&amp;"/"&amp;$A$1&amp;"/"&amp;D$1,tabSuiviConso[Jour Mois Année],0),1)</f>
        <v>#N/A</v>
      </c>
      <c r="E5" s="59" t="e">
        <f>INDEX(tabSuiviConso[Min],MATCH(Tableau72[[#This Row],[Jour]]&amp;"/"&amp;$A$1&amp;"/"&amp;E$1,tabSuiviConso[Jour Mois Année],0),1)</f>
        <v>#N/A</v>
      </c>
      <c r="F5" s="59" t="e">
        <f>INDEX(tabSuiviConso[Max],MATCH(Tableau72[[#This Row],[Jour]]&amp;"/"&amp;$A$1&amp;"/"&amp;F$1,tabSuiviConso[Jour Mois Année],0),1)</f>
        <v>#N/A</v>
      </c>
      <c r="G5" s="59" t="e">
        <f>INDEX(tabSuiviConso[Conso HP + HC / jour_x000D_
Instantané],MATCH(Tableau72[[#This Row],[Jour]]&amp;"/"&amp;$A$1&amp;"/"&amp;G$1,tabSuiviConso[Jour Mois Année],0),1)</f>
        <v>#N/A</v>
      </c>
      <c r="H5" s="59">
        <f>INDEX(tabSuiviConso[Min],MATCH(Tableau72[[#This Row],[Jour]]&amp;"/"&amp;$A$1&amp;"/"&amp;H$1,tabSuiviConso[Jour Mois Année],0),1)</f>
        <v>3.4</v>
      </c>
      <c r="I5" s="59">
        <f>INDEX(tabSuiviConso[Max],MATCH(Tableau72[[#This Row],[Jour]]&amp;"/"&amp;$A$1&amp;"/"&amp;I$1,tabSuiviConso[Jour Mois Année],0),1)</f>
        <v>12.8</v>
      </c>
      <c r="J5" s="59" t="e">
        <f>INDEX(tabSuiviConso[Conso HP + HC / jour_x000D_
Instantané],MATCH(Tableau72[[#This Row],[Jour]]&amp;"/"&amp;$A$1&amp;"/"&amp;J$1,tabSuiviConso[Jour Mois Année],0),1)</f>
        <v>#VALUE!</v>
      </c>
      <c r="K5" s="93" t="e">
        <f>Tableau72[[#This Row],[2024]]-Tableau72[[#This Row],[2023]]</f>
        <v>#VALUE!</v>
      </c>
    </row>
    <row r="6" spans="1:11" x14ac:dyDescent="0.2">
      <c r="A6" s="19">
        <v>4</v>
      </c>
      <c r="B6" s="59" t="e">
        <f>INDEX(tabSuiviConso[Min],MATCH(Tableau72[[#This Row],[Jour]]&amp;"/"&amp;$A$1&amp;"/"&amp;B$1,tabSuiviConso[Jour Mois Année],0),1)</f>
        <v>#N/A</v>
      </c>
      <c r="C6" s="59" t="e">
        <f>INDEX(tabSuiviConso[Max],MATCH(Tableau72[[#This Row],[Jour]]&amp;"/"&amp;$A$1&amp;"/"&amp;C$1,tabSuiviConso[Jour Mois Année],0),1)</f>
        <v>#N/A</v>
      </c>
      <c r="D6" s="59" t="e">
        <f>INDEX(tabSuiviConso[Conso HP + HC / jour_x000D_
Instantané],MATCH(Tableau72[[#This Row],[Jour]]&amp;"/"&amp;$A$1&amp;"/"&amp;D$1,tabSuiviConso[Jour Mois Année],0),1)</f>
        <v>#N/A</v>
      </c>
      <c r="E6" s="59" t="e">
        <f>INDEX(tabSuiviConso[Min],MATCH(Tableau72[[#This Row],[Jour]]&amp;"/"&amp;$A$1&amp;"/"&amp;E$1,tabSuiviConso[Jour Mois Année],0),1)</f>
        <v>#N/A</v>
      </c>
      <c r="F6" s="59" t="e">
        <f>INDEX(tabSuiviConso[Max],MATCH(Tableau72[[#This Row],[Jour]]&amp;"/"&amp;$A$1&amp;"/"&amp;F$1,tabSuiviConso[Jour Mois Année],0),1)</f>
        <v>#N/A</v>
      </c>
      <c r="G6" s="59" t="e">
        <f>INDEX(tabSuiviConso[Conso HP + HC / jour_x000D_
Instantané],MATCH(Tableau72[[#This Row],[Jour]]&amp;"/"&amp;$A$1&amp;"/"&amp;G$1,tabSuiviConso[Jour Mois Année],0),1)</f>
        <v>#N/A</v>
      </c>
      <c r="H6" s="59">
        <f>INDEX(tabSuiviConso[Min],MATCH(Tableau72[[#This Row],[Jour]]&amp;"/"&amp;$A$1&amp;"/"&amp;H$1,tabSuiviConso[Jour Mois Année],0),1)</f>
        <v>-0.7</v>
      </c>
      <c r="I6" s="59">
        <f>INDEX(tabSuiviConso[Max],MATCH(Tableau72[[#This Row],[Jour]]&amp;"/"&amp;$A$1&amp;"/"&amp;I$1,tabSuiviConso[Jour Mois Année],0),1)</f>
        <v>11.4</v>
      </c>
      <c r="J6" s="59">
        <f>INDEX(tabSuiviConso[Conso HP + HC / jour_x000D_
Instantané],MATCH(Tableau72[[#This Row],[Jour]]&amp;"/"&amp;$A$1&amp;"/"&amp;J$1,tabSuiviConso[Jour Mois Année],0),1)</f>
        <v>60.788927335836036</v>
      </c>
      <c r="K6" s="93" t="e">
        <f>Tableau72[[#This Row],[2024]]-Tableau72[[#This Row],[2023]]</f>
        <v>#N/A</v>
      </c>
    </row>
    <row r="7" spans="1:11" x14ac:dyDescent="0.2">
      <c r="A7" s="19">
        <v>5</v>
      </c>
      <c r="B7" s="59" t="e">
        <f>INDEX(tabSuiviConso[Min],MATCH(Tableau72[[#This Row],[Jour]]&amp;"/"&amp;$A$1&amp;"/"&amp;B$1,tabSuiviConso[Jour Mois Année],0),1)</f>
        <v>#N/A</v>
      </c>
      <c r="C7" s="59" t="e">
        <f>INDEX(tabSuiviConso[Max],MATCH(Tableau72[[#This Row],[Jour]]&amp;"/"&amp;$A$1&amp;"/"&amp;C$1,tabSuiviConso[Jour Mois Année],0),1)</f>
        <v>#N/A</v>
      </c>
      <c r="D7" s="59" t="e">
        <f>INDEX(tabSuiviConso[Conso HP + HC / jour_x000D_
Instantané],MATCH(Tableau72[[#This Row],[Jour]]&amp;"/"&amp;$A$1&amp;"/"&amp;D$1,tabSuiviConso[Jour Mois Année],0),1)</f>
        <v>#N/A</v>
      </c>
      <c r="E7" s="59" t="e">
        <f>INDEX(tabSuiviConso[Min],MATCH(Tableau72[[#This Row],[Jour]]&amp;"/"&amp;$A$1&amp;"/"&amp;E$1,tabSuiviConso[Jour Mois Année],0),1)</f>
        <v>#N/A</v>
      </c>
      <c r="F7" s="59" t="e">
        <f>INDEX(tabSuiviConso[Max],MATCH(Tableau72[[#This Row],[Jour]]&amp;"/"&amp;$A$1&amp;"/"&amp;F$1,tabSuiviConso[Jour Mois Année],0),1)</f>
        <v>#N/A</v>
      </c>
      <c r="G7" s="59" t="e">
        <f>INDEX(tabSuiviConso[Conso HP + HC / jour_x000D_
Instantané],MATCH(Tableau72[[#This Row],[Jour]]&amp;"/"&amp;$A$1&amp;"/"&amp;G$1,tabSuiviConso[Jour Mois Année],0),1)</f>
        <v>#N/A</v>
      </c>
      <c r="H7" s="59">
        <f>INDEX(tabSuiviConso[Min],MATCH(Tableau72[[#This Row],[Jour]]&amp;"/"&amp;$A$1&amp;"/"&amp;H$1,tabSuiviConso[Jour Mois Année],0),1)</f>
        <v>-0.6</v>
      </c>
      <c r="I7" s="59">
        <f>INDEX(tabSuiviConso[Max],MATCH(Tableau72[[#This Row],[Jour]]&amp;"/"&amp;$A$1&amp;"/"&amp;I$1,tabSuiviConso[Jour Mois Année],0),1)</f>
        <v>10.7</v>
      </c>
      <c r="J7" s="59">
        <f>INDEX(tabSuiviConso[Conso HP + HC / jour_x000D_
Instantané],MATCH(Tableau72[[#This Row],[Jour]]&amp;"/"&amp;$A$1&amp;"/"&amp;J$1,tabSuiviConso[Jour Mois Année],0),1)</f>
        <v>60.283592167132191</v>
      </c>
      <c r="K7" s="93" t="e">
        <f>Tableau72[[#This Row],[2024]]-Tableau72[[#This Row],[2023]]</f>
        <v>#N/A</v>
      </c>
    </row>
    <row r="8" spans="1:11" x14ac:dyDescent="0.2">
      <c r="A8" s="19">
        <v>6</v>
      </c>
      <c r="B8" s="59" t="e">
        <f>INDEX(tabSuiviConso[Min],MATCH(Tableau72[[#This Row],[Jour]]&amp;"/"&amp;$A$1&amp;"/"&amp;B$1,tabSuiviConso[Jour Mois Année],0),1)</f>
        <v>#N/A</v>
      </c>
      <c r="C8" s="59" t="e">
        <f>INDEX(tabSuiviConso[Max],MATCH(Tableau72[[#This Row],[Jour]]&amp;"/"&amp;$A$1&amp;"/"&amp;C$1,tabSuiviConso[Jour Mois Année],0),1)</f>
        <v>#N/A</v>
      </c>
      <c r="D8" s="59" t="e">
        <f>INDEX(tabSuiviConso[Conso HP + HC / jour_x000D_
Instantané],MATCH(Tableau72[[#This Row],[Jour]]&amp;"/"&amp;$A$1&amp;"/"&amp;D$1,tabSuiviConso[Jour Mois Année],0),1)</f>
        <v>#N/A</v>
      </c>
      <c r="E8" s="59" t="e">
        <f>INDEX(tabSuiviConso[Min],MATCH(Tableau72[[#This Row],[Jour]]&amp;"/"&amp;$A$1&amp;"/"&amp;E$1,tabSuiviConso[Jour Mois Année],0),1)</f>
        <v>#N/A</v>
      </c>
      <c r="F8" s="59" t="e">
        <f>INDEX(tabSuiviConso[Max],MATCH(Tableau72[[#This Row],[Jour]]&amp;"/"&amp;$A$1&amp;"/"&amp;F$1,tabSuiviConso[Jour Mois Année],0),1)</f>
        <v>#N/A</v>
      </c>
      <c r="G8" s="59" t="e">
        <f>INDEX(tabSuiviConso[Conso HP + HC / jour_x000D_
Instantané],MATCH(Tableau72[[#This Row],[Jour]]&amp;"/"&amp;$A$1&amp;"/"&amp;G$1,tabSuiviConso[Jour Mois Année],0),1)</f>
        <v>#N/A</v>
      </c>
      <c r="H8" s="59">
        <f>INDEX(tabSuiviConso[Min],MATCH(Tableau72[[#This Row],[Jour]]&amp;"/"&amp;$A$1&amp;"/"&amp;H$1,tabSuiviConso[Jour Mois Année],0),1)</f>
        <v>6.4</v>
      </c>
      <c r="I8" s="59">
        <f>INDEX(tabSuiviConso[Max],MATCH(Tableau72[[#This Row],[Jour]]&amp;"/"&amp;$A$1&amp;"/"&amp;I$1,tabSuiviConso[Jour Mois Année],0),1)</f>
        <v>13.9</v>
      </c>
      <c r="J8" s="59">
        <f>INDEX(tabSuiviConso[Conso HP + HC / jour_x000D_
Instantané],MATCH(Tableau72[[#This Row],[Jour]]&amp;"/"&amp;$A$1&amp;"/"&amp;J$1,tabSuiviConso[Jour Mois Année],0),1)</f>
        <v>45.575757575757578</v>
      </c>
      <c r="K8" s="93" t="e">
        <f>Tableau72[[#This Row],[2024]]-Tableau72[[#This Row],[2023]]</f>
        <v>#N/A</v>
      </c>
    </row>
    <row r="9" spans="1:11" x14ac:dyDescent="0.2">
      <c r="A9" s="19">
        <v>7</v>
      </c>
      <c r="B9" s="59" t="e">
        <f>INDEX(tabSuiviConso[Min],MATCH(Tableau72[[#This Row],[Jour]]&amp;"/"&amp;$A$1&amp;"/"&amp;B$1,tabSuiviConso[Jour Mois Année],0),1)</f>
        <v>#N/A</v>
      </c>
      <c r="C9" s="59" t="e">
        <f>INDEX(tabSuiviConso[Max],MATCH(Tableau72[[#This Row],[Jour]]&amp;"/"&amp;$A$1&amp;"/"&amp;C$1,tabSuiviConso[Jour Mois Année],0),1)</f>
        <v>#N/A</v>
      </c>
      <c r="D9" s="59" t="e">
        <f>INDEX(tabSuiviConso[Conso HP + HC / jour_x000D_
Instantané],MATCH(Tableau72[[#This Row],[Jour]]&amp;"/"&amp;$A$1&amp;"/"&amp;D$1,tabSuiviConso[Jour Mois Année],0),1)</f>
        <v>#N/A</v>
      </c>
      <c r="E9" s="59" t="e">
        <f>INDEX(tabSuiviConso[Min],MATCH(Tableau72[[#This Row],[Jour]]&amp;"/"&amp;$A$1&amp;"/"&amp;E$1,tabSuiviConso[Jour Mois Année],0),1)</f>
        <v>#N/A</v>
      </c>
      <c r="F9" s="59" t="e">
        <f>INDEX(tabSuiviConso[Max],MATCH(Tableau72[[#This Row],[Jour]]&amp;"/"&amp;$A$1&amp;"/"&amp;F$1,tabSuiviConso[Jour Mois Année],0),1)</f>
        <v>#N/A</v>
      </c>
      <c r="G9" s="59" t="e">
        <f>INDEX(tabSuiviConso[Conso HP + HC / jour_x000D_
Instantané],MATCH(Tableau72[[#This Row],[Jour]]&amp;"/"&amp;$A$1&amp;"/"&amp;G$1,tabSuiviConso[Jour Mois Année],0),1)</f>
        <v>#N/A</v>
      </c>
      <c r="H9" s="59">
        <f>INDEX(tabSuiviConso[Min],MATCH(Tableau72[[#This Row],[Jour]]&amp;"/"&amp;$A$1&amp;"/"&amp;H$1,tabSuiviConso[Jour Mois Année],0),1)</f>
        <v>6.5</v>
      </c>
      <c r="I9" s="59">
        <f>INDEX(tabSuiviConso[Max],MATCH(Tableau72[[#This Row],[Jour]]&amp;"/"&amp;$A$1&amp;"/"&amp;I$1,tabSuiviConso[Jour Mois Année],0),1)</f>
        <v>13</v>
      </c>
      <c r="J9" s="59">
        <f>INDEX(tabSuiviConso[Conso HP + HC / jour_x000D_
Instantané],MATCH(Tableau72[[#This Row],[Jour]]&amp;"/"&amp;$A$1&amp;"/"&amp;J$1,tabSuiviConso[Jour Mois Année],0),1)</f>
        <v>36.053019145944823</v>
      </c>
      <c r="K9" s="93" t="e">
        <f>Tableau72[[#This Row],[2024]]-Tableau72[[#This Row],[2023]]</f>
        <v>#N/A</v>
      </c>
    </row>
    <row r="10" spans="1:11" x14ac:dyDescent="0.2">
      <c r="A10" s="19">
        <v>8</v>
      </c>
      <c r="B10" s="59" t="e">
        <f>INDEX(tabSuiviConso[Min],MATCH(Tableau72[[#This Row],[Jour]]&amp;"/"&amp;$A$1&amp;"/"&amp;B$1,tabSuiviConso[Jour Mois Année],0),1)</f>
        <v>#N/A</v>
      </c>
      <c r="C10" s="59" t="e">
        <f>INDEX(tabSuiviConso[Max],MATCH(Tableau72[[#This Row],[Jour]]&amp;"/"&amp;$A$1&amp;"/"&amp;C$1,tabSuiviConso[Jour Mois Année],0),1)</f>
        <v>#N/A</v>
      </c>
      <c r="D10" s="59" t="e">
        <f>INDEX(tabSuiviConso[Conso HP + HC / jour_x000D_
Instantané],MATCH(Tableau72[[#This Row],[Jour]]&amp;"/"&amp;$A$1&amp;"/"&amp;D$1,tabSuiviConso[Jour Mois Année],0),1)</f>
        <v>#N/A</v>
      </c>
      <c r="E10" s="59" t="e">
        <f>INDEX(tabSuiviConso[Min],MATCH(Tableau72[[#This Row],[Jour]]&amp;"/"&amp;$A$1&amp;"/"&amp;E$1,tabSuiviConso[Jour Mois Année],0),1)</f>
        <v>#N/A</v>
      </c>
      <c r="F10" s="59" t="e">
        <f>INDEX(tabSuiviConso[Max],MATCH(Tableau72[[#This Row],[Jour]]&amp;"/"&amp;$A$1&amp;"/"&amp;F$1,tabSuiviConso[Jour Mois Année],0),1)</f>
        <v>#N/A</v>
      </c>
      <c r="G10" s="59" t="e">
        <f>INDEX(tabSuiviConso[Conso HP + HC / jour_x000D_
Instantané],MATCH(Tableau72[[#This Row],[Jour]]&amp;"/"&amp;$A$1&amp;"/"&amp;G$1,tabSuiviConso[Jour Mois Année],0),1)</f>
        <v>#N/A</v>
      </c>
      <c r="H10" s="59">
        <f>INDEX(tabSuiviConso[Min],MATCH(Tableau72[[#This Row],[Jour]]&amp;"/"&amp;$A$1&amp;"/"&amp;H$1,tabSuiviConso[Jour Mois Année],0),1)</f>
        <v>5.9</v>
      </c>
      <c r="I10" s="59">
        <f>INDEX(tabSuiviConso[Max],MATCH(Tableau72[[#This Row],[Jour]]&amp;"/"&amp;$A$1&amp;"/"&amp;I$1,tabSuiviConso[Jour Mois Année],0),1)</f>
        <v>10.1</v>
      </c>
      <c r="J10" s="59">
        <f>INDEX(tabSuiviConso[Conso HP + HC / jour_x000D_
Instantané],MATCH(Tableau72[[#This Row],[Jour]]&amp;"/"&amp;$A$1&amp;"/"&amp;J$1,tabSuiviConso[Jour Mois Année],0),1)</f>
        <v>60.212014134176542</v>
      </c>
      <c r="K10" s="93" t="e">
        <f>Tableau72[[#This Row],[2024]]-Tableau72[[#This Row],[2023]]</f>
        <v>#N/A</v>
      </c>
    </row>
    <row r="11" spans="1:11" x14ac:dyDescent="0.2">
      <c r="A11" s="19">
        <v>9</v>
      </c>
      <c r="B11" s="59" t="e">
        <f>INDEX(tabSuiviConso[Min],MATCH(Tableau72[[#This Row],[Jour]]&amp;"/"&amp;$A$1&amp;"/"&amp;B$1,tabSuiviConso[Jour Mois Année],0),1)</f>
        <v>#N/A</v>
      </c>
      <c r="C11" s="59" t="e">
        <f>INDEX(tabSuiviConso[Max],MATCH(Tableau72[[#This Row],[Jour]]&amp;"/"&amp;$A$1&amp;"/"&amp;C$1,tabSuiviConso[Jour Mois Année],0),1)</f>
        <v>#N/A</v>
      </c>
      <c r="D11" s="59" t="e">
        <f>INDEX(tabSuiviConso[Conso HP + HC / jour_x000D_
Instantané],MATCH(Tableau72[[#This Row],[Jour]]&amp;"/"&amp;$A$1&amp;"/"&amp;D$1,tabSuiviConso[Jour Mois Année],0),1)</f>
        <v>#N/A</v>
      </c>
      <c r="E11" s="59" t="e">
        <f>INDEX(tabSuiviConso[Min],MATCH(Tableau72[[#This Row],[Jour]]&amp;"/"&amp;$A$1&amp;"/"&amp;E$1,tabSuiviConso[Jour Mois Année],0),1)</f>
        <v>#N/A</v>
      </c>
      <c r="F11" s="59" t="e">
        <f>INDEX(tabSuiviConso[Max],MATCH(Tableau72[[#This Row],[Jour]]&amp;"/"&amp;$A$1&amp;"/"&amp;F$1,tabSuiviConso[Jour Mois Année],0),1)</f>
        <v>#N/A</v>
      </c>
      <c r="G11" s="59" t="e">
        <f>INDEX(tabSuiviConso[Conso HP + HC / jour_x000D_
Instantané],MATCH(Tableau72[[#This Row],[Jour]]&amp;"/"&amp;$A$1&amp;"/"&amp;G$1,tabSuiviConso[Jour Mois Année],0),1)</f>
        <v>#N/A</v>
      </c>
      <c r="H11" s="59">
        <f>INDEX(tabSuiviConso[Min],MATCH(Tableau72[[#This Row],[Jour]]&amp;"/"&amp;$A$1&amp;"/"&amp;H$1,tabSuiviConso[Jour Mois Année],0),1)</f>
        <v>5.8</v>
      </c>
      <c r="I11" s="59">
        <f>INDEX(tabSuiviConso[Max],MATCH(Tableau72[[#This Row],[Jour]]&amp;"/"&amp;$A$1&amp;"/"&amp;I$1,tabSuiviConso[Jour Mois Année],0),1)</f>
        <v>7.7</v>
      </c>
      <c r="J11" s="59">
        <f>INDEX(tabSuiviConso[Conso HP + HC / jour_x000D_
Instantané],MATCH(Tableau72[[#This Row],[Jour]]&amp;"/"&amp;$A$1&amp;"/"&amp;J$1,tabSuiviConso[Jour Mois Année],0),1)</f>
        <v>62.977291841933265</v>
      </c>
      <c r="K11" s="93" t="e">
        <f>Tableau72[[#This Row],[2024]]-Tableau72[[#This Row],[2023]]</f>
        <v>#N/A</v>
      </c>
    </row>
    <row r="12" spans="1:11" x14ac:dyDescent="0.2">
      <c r="A12" s="19">
        <v>10</v>
      </c>
      <c r="B12" s="59" t="e">
        <f>INDEX(tabSuiviConso[Min],MATCH(Tableau72[[#This Row],[Jour]]&amp;"/"&amp;$A$1&amp;"/"&amp;B$1,tabSuiviConso[Jour Mois Année],0),1)</f>
        <v>#N/A</v>
      </c>
      <c r="C12" s="59" t="e">
        <f>INDEX(tabSuiviConso[Max],MATCH(Tableau72[[#This Row],[Jour]]&amp;"/"&amp;$A$1&amp;"/"&amp;C$1,tabSuiviConso[Jour Mois Année],0),1)</f>
        <v>#N/A</v>
      </c>
      <c r="D12" s="59" t="e">
        <f>INDEX(tabSuiviConso[Conso HP + HC / jour_x000D_
Instantané],MATCH(Tableau72[[#This Row],[Jour]]&amp;"/"&amp;$A$1&amp;"/"&amp;D$1,tabSuiviConso[Jour Mois Année],0),1)</f>
        <v>#N/A</v>
      </c>
      <c r="E12" s="59" t="e">
        <f>INDEX(tabSuiviConso[Min],MATCH(Tableau72[[#This Row],[Jour]]&amp;"/"&amp;$A$1&amp;"/"&amp;E$1,tabSuiviConso[Jour Mois Année],0),1)</f>
        <v>#N/A</v>
      </c>
      <c r="F12" s="59" t="e">
        <f>INDEX(tabSuiviConso[Max],MATCH(Tableau72[[#This Row],[Jour]]&amp;"/"&amp;$A$1&amp;"/"&amp;F$1,tabSuiviConso[Jour Mois Année],0),1)</f>
        <v>#N/A</v>
      </c>
      <c r="G12" s="59" t="e">
        <f>INDEX(tabSuiviConso[Conso HP + HC / jour_x000D_
Instantané],MATCH(Tableau72[[#This Row],[Jour]]&amp;"/"&amp;$A$1&amp;"/"&amp;G$1,tabSuiviConso[Jour Mois Année],0),1)</f>
        <v>#N/A</v>
      </c>
      <c r="H12" s="59">
        <f>INDEX(tabSuiviConso[Min],MATCH(Tableau72[[#This Row],[Jour]]&amp;"/"&amp;$A$1&amp;"/"&amp;H$1,tabSuiviConso[Jour Mois Année],0),1)</f>
        <v>3.8</v>
      </c>
      <c r="I12" s="59">
        <f>INDEX(tabSuiviConso[Max],MATCH(Tableau72[[#This Row],[Jour]]&amp;"/"&amp;$A$1&amp;"/"&amp;I$1,tabSuiviConso[Jour Mois Année],0),1)</f>
        <v>6.4</v>
      </c>
      <c r="J12" s="59">
        <f>INDEX(tabSuiviConso[Conso HP + HC / jour_x000D_
Instantané],MATCH(Tableau72[[#This Row],[Jour]]&amp;"/"&amp;$A$1&amp;"/"&amp;J$1,tabSuiviConso[Jour Mois Année],0),1)</f>
        <v>66.415094339525382</v>
      </c>
      <c r="K12" s="93" t="e">
        <f>Tableau72[[#This Row],[2024]]-Tableau72[[#This Row],[2023]]</f>
        <v>#N/A</v>
      </c>
    </row>
    <row r="13" spans="1:11" x14ac:dyDescent="0.2">
      <c r="A13" s="19">
        <v>11</v>
      </c>
      <c r="B13" s="59" t="e">
        <f>INDEX(tabSuiviConso[Min],MATCH(Tableau72[[#This Row],[Jour]]&amp;"/"&amp;$A$1&amp;"/"&amp;B$1,tabSuiviConso[Jour Mois Année],0),1)</f>
        <v>#N/A</v>
      </c>
      <c r="C13" s="59" t="e">
        <f>INDEX(tabSuiviConso[Max],MATCH(Tableau72[[#This Row],[Jour]]&amp;"/"&amp;$A$1&amp;"/"&amp;C$1,tabSuiviConso[Jour Mois Année],0),1)</f>
        <v>#N/A</v>
      </c>
      <c r="D13" s="59" t="e">
        <f>INDEX(tabSuiviConso[Conso HP + HC / jour_x000D_
Instantané],MATCH(Tableau72[[#This Row],[Jour]]&amp;"/"&amp;$A$1&amp;"/"&amp;D$1,tabSuiviConso[Jour Mois Année],0),1)</f>
        <v>#N/A</v>
      </c>
      <c r="E13" s="59" t="e">
        <f>INDEX(tabSuiviConso[Min],MATCH(Tableau72[[#This Row],[Jour]]&amp;"/"&amp;$A$1&amp;"/"&amp;E$1,tabSuiviConso[Jour Mois Année],0),1)</f>
        <v>#N/A</v>
      </c>
      <c r="F13" s="59" t="e">
        <f>INDEX(tabSuiviConso[Max],MATCH(Tableau72[[#This Row],[Jour]]&amp;"/"&amp;$A$1&amp;"/"&amp;F$1,tabSuiviConso[Jour Mois Année],0),1)</f>
        <v>#N/A</v>
      </c>
      <c r="G13" s="59" t="e">
        <f>INDEX(tabSuiviConso[Conso HP + HC / jour_x000D_
Instantané],MATCH(Tableau72[[#This Row],[Jour]]&amp;"/"&amp;$A$1&amp;"/"&amp;G$1,tabSuiviConso[Jour Mois Année],0),1)</f>
        <v>#N/A</v>
      </c>
      <c r="H13" s="59">
        <f>INDEX(tabSuiviConso[Min],MATCH(Tableau72[[#This Row],[Jour]]&amp;"/"&amp;$A$1&amp;"/"&amp;H$1,tabSuiviConso[Jour Mois Année],0),1)</f>
        <v>2.6</v>
      </c>
      <c r="I13" s="59">
        <f>INDEX(tabSuiviConso[Max],MATCH(Tableau72[[#This Row],[Jour]]&amp;"/"&amp;$A$1&amp;"/"&amp;I$1,tabSuiviConso[Jour Mois Année],0),1)</f>
        <v>4.5999999999999996</v>
      </c>
      <c r="J13" s="59">
        <f>INDEX(tabSuiviConso[Conso HP + HC / jour_x000D_
Instantané],MATCH(Tableau72[[#This Row],[Jour]]&amp;"/"&amp;$A$1&amp;"/"&amp;J$1,tabSuiviConso[Jour Mois Année],0),1)</f>
        <v>64.741144414302426</v>
      </c>
      <c r="K13" s="93" t="e">
        <f>Tableau72[[#This Row],[2024]]-Tableau72[[#This Row],[2023]]</f>
        <v>#N/A</v>
      </c>
    </row>
    <row r="14" spans="1:11" x14ac:dyDescent="0.2">
      <c r="A14" s="19">
        <v>12</v>
      </c>
      <c r="B14" s="59" t="e">
        <f>INDEX(tabSuiviConso[Min],MATCH(Tableau72[[#This Row],[Jour]]&amp;"/"&amp;$A$1&amp;"/"&amp;B$1,tabSuiviConso[Jour Mois Année],0),1)</f>
        <v>#N/A</v>
      </c>
      <c r="C14" s="59" t="e">
        <f>INDEX(tabSuiviConso[Max],MATCH(Tableau72[[#This Row],[Jour]]&amp;"/"&amp;$A$1&amp;"/"&amp;C$1,tabSuiviConso[Jour Mois Année],0),1)</f>
        <v>#N/A</v>
      </c>
      <c r="D14" s="59" t="e">
        <f>INDEX(tabSuiviConso[Conso HP + HC / jour_x000D_
Instantané],MATCH(Tableau72[[#This Row],[Jour]]&amp;"/"&amp;$A$1&amp;"/"&amp;D$1,tabSuiviConso[Jour Mois Année],0),1)</f>
        <v>#N/A</v>
      </c>
      <c r="E14" s="59" t="e">
        <f>INDEX(tabSuiviConso[Min],MATCH(Tableau72[[#This Row],[Jour]]&amp;"/"&amp;$A$1&amp;"/"&amp;E$1,tabSuiviConso[Jour Mois Année],0),1)</f>
        <v>#N/A</v>
      </c>
      <c r="F14" s="59" t="e">
        <f>INDEX(tabSuiviConso[Max],MATCH(Tableau72[[#This Row],[Jour]]&amp;"/"&amp;$A$1&amp;"/"&amp;F$1,tabSuiviConso[Jour Mois Année],0),1)</f>
        <v>#N/A</v>
      </c>
      <c r="G14" s="59" t="e">
        <f>INDEX(tabSuiviConso[Conso HP + HC / jour_x000D_
Instantané],MATCH(Tableau72[[#This Row],[Jour]]&amp;"/"&amp;$A$1&amp;"/"&amp;G$1,tabSuiviConso[Jour Mois Année],0),1)</f>
        <v>#N/A</v>
      </c>
      <c r="H14" s="59">
        <f>INDEX(tabSuiviConso[Min],MATCH(Tableau72[[#This Row],[Jour]]&amp;"/"&amp;$A$1&amp;"/"&amp;H$1,tabSuiviConso[Jour Mois Année],0),1)</f>
        <v>-0.4</v>
      </c>
      <c r="I14" s="59">
        <f>INDEX(tabSuiviConso[Max],MATCH(Tableau72[[#This Row],[Jour]]&amp;"/"&amp;$A$1&amp;"/"&amp;I$1,tabSuiviConso[Jour Mois Année],0),1)</f>
        <v>5.4</v>
      </c>
      <c r="J14" s="59">
        <f>INDEX(tabSuiviConso[Conso HP + HC / jour_x000D_
Instantané],MATCH(Tableau72[[#This Row],[Jour]]&amp;"/"&amp;$A$1&amp;"/"&amp;J$1,tabSuiviConso[Jour Mois Année],0),1)</f>
        <v>74.080338266129516</v>
      </c>
      <c r="K14" s="93" t="e">
        <f>Tableau72[[#This Row],[2024]]-Tableau72[[#This Row],[2023]]</f>
        <v>#N/A</v>
      </c>
    </row>
    <row r="15" spans="1:11" x14ac:dyDescent="0.2">
      <c r="A15" s="19">
        <v>13</v>
      </c>
      <c r="B15" s="59" t="e">
        <f>INDEX(tabSuiviConso[Min],MATCH(Tableau72[[#This Row],[Jour]]&amp;"/"&amp;$A$1&amp;"/"&amp;B$1,tabSuiviConso[Jour Mois Année],0),1)</f>
        <v>#N/A</v>
      </c>
      <c r="C15" s="59" t="e">
        <f>INDEX(tabSuiviConso[Max],MATCH(Tableau72[[#This Row],[Jour]]&amp;"/"&amp;$A$1&amp;"/"&amp;C$1,tabSuiviConso[Jour Mois Année],0),1)</f>
        <v>#N/A</v>
      </c>
      <c r="D15" s="59" t="e">
        <f>INDEX(tabSuiviConso[Conso HP + HC / jour_x000D_
Instantané],MATCH(Tableau72[[#This Row],[Jour]]&amp;"/"&amp;$A$1&amp;"/"&amp;D$1,tabSuiviConso[Jour Mois Année],0),1)</f>
        <v>#N/A</v>
      </c>
      <c r="E15" s="59" t="e">
        <f>INDEX(tabSuiviConso[Min],MATCH(Tableau72[[#This Row],[Jour]]&amp;"/"&amp;$A$1&amp;"/"&amp;E$1,tabSuiviConso[Jour Mois Année],0),1)</f>
        <v>#N/A</v>
      </c>
      <c r="F15" s="59" t="e">
        <f>INDEX(tabSuiviConso[Max],MATCH(Tableau72[[#This Row],[Jour]]&amp;"/"&amp;$A$1&amp;"/"&amp;F$1,tabSuiviConso[Jour Mois Année],0),1)</f>
        <v>#N/A</v>
      </c>
      <c r="G15" s="59" t="e">
        <f>INDEX(tabSuiviConso[Conso HP + HC / jour_x000D_
Instantané],MATCH(Tableau72[[#This Row],[Jour]]&amp;"/"&amp;$A$1&amp;"/"&amp;G$1,tabSuiviConso[Jour Mois Année],0),1)</f>
        <v>#N/A</v>
      </c>
      <c r="H15" s="59">
        <f>INDEX(tabSuiviConso[Min],MATCH(Tableau72[[#This Row],[Jour]]&amp;"/"&amp;$A$1&amp;"/"&amp;H$1,tabSuiviConso[Jour Mois Année],0),1)</f>
        <v>-0.4</v>
      </c>
      <c r="I15" s="59">
        <f>INDEX(tabSuiviConso[Max],MATCH(Tableau72[[#This Row],[Jour]]&amp;"/"&amp;$A$1&amp;"/"&amp;I$1,tabSuiviConso[Jour Mois Année],0),1)</f>
        <v>5.4</v>
      </c>
      <c r="J15" s="59">
        <f>INDEX(tabSuiviConso[Conso HP + HC / jour_x000D_
Instantané],MATCH(Tableau72[[#This Row],[Jour]]&amp;"/"&amp;$A$1&amp;"/"&amp;J$1,tabSuiviConso[Jour Mois Année],0),1)</f>
        <v>75.2089136491592</v>
      </c>
      <c r="K15" s="93" t="e">
        <f>Tableau72[[#This Row],[2024]]-Tableau72[[#This Row],[2023]]</f>
        <v>#N/A</v>
      </c>
    </row>
    <row r="16" spans="1:11" x14ac:dyDescent="0.2">
      <c r="A16" s="19">
        <v>14</v>
      </c>
      <c r="B16" s="59" t="e">
        <f>INDEX(tabSuiviConso[Min],MATCH(Tableau72[[#This Row],[Jour]]&amp;"/"&amp;$A$1&amp;"/"&amp;B$1,tabSuiviConso[Jour Mois Année],0),1)</f>
        <v>#N/A</v>
      </c>
      <c r="C16" s="59" t="e">
        <f>INDEX(tabSuiviConso[Max],MATCH(Tableau72[[#This Row],[Jour]]&amp;"/"&amp;$A$1&amp;"/"&amp;C$1,tabSuiviConso[Jour Mois Année],0),1)</f>
        <v>#N/A</v>
      </c>
      <c r="D16" s="59" t="e">
        <f>INDEX(tabSuiviConso[Conso HP + HC / jour_x000D_
Instantané],MATCH(Tableau72[[#This Row],[Jour]]&amp;"/"&amp;$A$1&amp;"/"&amp;D$1,tabSuiviConso[Jour Mois Année],0),1)</f>
        <v>#N/A</v>
      </c>
      <c r="E16" s="59" t="e">
        <f>INDEX(tabSuiviConso[Min],MATCH(Tableau72[[#This Row],[Jour]]&amp;"/"&amp;$A$1&amp;"/"&amp;E$1,tabSuiviConso[Jour Mois Année],0),1)</f>
        <v>#N/A</v>
      </c>
      <c r="F16" s="59" t="e">
        <f>INDEX(tabSuiviConso[Max],MATCH(Tableau72[[#This Row],[Jour]]&amp;"/"&amp;$A$1&amp;"/"&amp;F$1,tabSuiviConso[Jour Mois Année],0),1)</f>
        <v>#N/A</v>
      </c>
      <c r="G16" s="59" t="e">
        <f>INDEX(tabSuiviConso[Conso HP + HC / jour_x000D_
Instantané],MATCH(Tableau72[[#This Row],[Jour]]&amp;"/"&amp;$A$1&amp;"/"&amp;G$1,tabSuiviConso[Jour Mois Année],0),1)</f>
        <v>#N/A</v>
      </c>
      <c r="H16" s="59">
        <f>INDEX(tabSuiviConso[Min],MATCH(Tableau72[[#This Row],[Jour]]&amp;"/"&amp;$A$1&amp;"/"&amp;H$1,tabSuiviConso[Jour Mois Année],0),1)</f>
        <v>-0.4</v>
      </c>
      <c r="I16" s="59">
        <f>INDEX(tabSuiviConso[Max],MATCH(Tableau72[[#This Row],[Jour]]&amp;"/"&amp;$A$1&amp;"/"&amp;I$1,tabSuiviConso[Jour Mois Année],0),1)</f>
        <v>5.4</v>
      </c>
      <c r="J16" s="59">
        <f>INDEX(tabSuiviConso[Conso HP + HC / jour_x000D_
Instantané],MATCH(Tableau72[[#This Row],[Jour]]&amp;"/"&amp;$A$1&amp;"/"&amp;J$1,tabSuiviConso[Jour Mois Année],0),1)</f>
        <v>115.14313919033795</v>
      </c>
      <c r="K16" s="93" t="e">
        <f>Tableau72[[#This Row],[2024]]-Tableau72[[#This Row],[2023]]</f>
        <v>#N/A</v>
      </c>
    </row>
    <row r="17" spans="1:11" x14ac:dyDescent="0.2">
      <c r="A17" s="19">
        <v>15</v>
      </c>
      <c r="B17" s="59" t="e">
        <f>INDEX(tabSuiviConso[Min],MATCH(Tableau72[[#This Row],[Jour]]&amp;"/"&amp;$A$1&amp;"/"&amp;B$1,tabSuiviConso[Jour Mois Année],0),1)</f>
        <v>#N/A</v>
      </c>
      <c r="C17" s="59" t="e">
        <f>INDEX(tabSuiviConso[Max],MATCH(Tableau72[[#This Row],[Jour]]&amp;"/"&amp;$A$1&amp;"/"&amp;C$1,tabSuiviConso[Jour Mois Année],0),1)</f>
        <v>#N/A</v>
      </c>
      <c r="D17" s="59" t="e">
        <f>INDEX(tabSuiviConso[Conso HP + HC / jour_x000D_
Instantané],MATCH(Tableau72[[#This Row],[Jour]]&amp;"/"&amp;$A$1&amp;"/"&amp;D$1,tabSuiviConso[Jour Mois Année],0),1)</f>
        <v>#N/A</v>
      </c>
      <c r="E17" s="59" t="e">
        <f>INDEX(tabSuiviConso[Min],MATCH(Tableau72[[#This Row],[Jour]]&amp;"/"&amp;$A$1&amp;"/"&amp;E$1,tabSuiviConso[Jour Mois Année],0),1)</f>
        <v>#N/A</v>
      </c>
      <c r="F17" s="59" t="e">
        <f>INDEX(tabSuiviConso[Max],MATCH(Tableau72[[#This Row],[Jour]]&amp;"/"&amp;$A$1&amp;"/"&amp;F$1,tabSuiviConso[Jour Mois Année],0),1)</f>
        <v>#N/A</v>
      </c>
      <c r="G17" s="59" t="e">
        <f>INDEX(tabSuiviConso[Conso HP + HC / jour_x000D_
Instantané],MATCH(Tableau72[[#This Row],[Jour]]&amp;"/"&amp;$A$1&amp;"/"&amp;G$1,tabSuiviConso[Jour Mois Année],0),1)</f>
        <v>#N/A</v>
      </c>
      <c r="H17" s="59" t="e">
        <f>INDEX(tabSuiviConso[Min],MATCH(Tableau72[[#This Row],[Jour]]&amp;"/"&amp;$A$1&amp;"/"&amp;H$1,tabSuiviConso[Jour Mois Année],0),1)</f>
        <v>#N/A</v>
      </c>
      <c r="I17" s="59" t="e">
        <f>INDEX(tabSuiviConso[Max],MATCH(Tableau72[[#This Row],[Jour]]&amp;"/"&amp;$A$1&amp;"/"&amp;I$1,tabSuiviConso[Jour Mois Année],0),1)</f>
        <v>#N/A</v>
      </c>
      <c r="J17" s="59" t="e">
        <f>INDEX(tabSuiviConso[Conso HP + HC / jour_x000D_
Instantané],MATCH(Tableau72[[#This Row],[Jour]]&amp;"/"&amp;$A$1&amp;"/"&amp;J$1,tabSuiviConso[Jour Mois Année],0),1)</f>
        <v>#N/A</v>
      </c>
      <c r="K17" s="93" t="e">
        <f>Tableau72[[#This Row],[2024]]-Tableau72[[#This Row],[2023]]</f>
        <v>#N/A</v>
      </c>
    </row>
    <row r="18" spans="1:11" x14ac:dyDescent="0.2">
      <c r="A18" s="19">
        <v>16</v>
      </c>
      <c r="B18" s="59" t="e">
        <f>INDEX(tabSuiviConso[Min],MATCH(Tableau72[[#This Row],[Jour]]&amp;"/"&amp;$A$1&amp;"/"&amp;B$1,tabSuiviConso[Jour Mois Année],0),1)</f>
        <v>#N/A</v>
      </c>
      <c r="C18" s="59" t="e">
        <f>INDEX(tabSuiviConso[Max],MATCH(Tableau72[[#This Row],[Jour]]&amp;"/"&amp;$A$1&amp;"/"&amp;C$1,tabSuiviConso[Jour Mois Année],0),1)</f>
        <v>#N/A</v>
      </c>
      <c r="D18" s="59" t="e">
        <f>INDEX(tabSuiviConso[Conso HP + HC / jour_x000D_
Instantané],MATCH(Tableau72[[#This Row],[Jour]]&amp;"/"&amp;$A$1&amp;"/"&amp;D$1,tabSuiviConso[Jour Mois Année],0),1)</f>
        <v>#N/A</v>
      </c>
      <c r="E18" s="59" t="e">
        <f>INDEX(tabSuiviConso[Min],MATCH(Tableau72[[#This Row],[Jour]]&amp;"/"&amp;$A$1&amp;"/"&amp;E$1,tabSuiviConso[Jour Mois Année],0),1)</f>
        <v>#N/A</v>
      </c>
      <c r="F18" s="59" t="e">
        <f>INDEX(tabSuiviConso[Max],MATCH(Tableau72[[#This Row],[Jour]]&amp;"/"&amp;$A$1&amp;"/"&amp;F$1,tabSuiviConso[Jour Mois Année],0),1)</f>
        <v>#N/A</v>
      </c>
      <c r="G18" s="59" t="e">
        <f>INDEX(tabSuiviConso[Conso HP + HC / jour_x000D_
Instantané],MATCH(Tableau72[[#This Row],[Jour]]&amp;"/"&amp;$A$1&amp;"/"&amp;G$1,tabSuiviConso[Jour Mois Année],0),1)</f>
        <v>#N/A</v>
      </c>
      <c r="H18" s="59" t="e">
        <f>INDEX(tabSuiviConso[Min],MATCH(Tableau72[[#This Row],[Jour]]&amp;"/"&amp;$A$1&amp;"/"&amp;H$1,tabSuiviConso[Jour Mois Année],0),1)</f>
        <v>#N/A</v>
      </c>
      <c r="I18" s="59" t="e">
        <f>INDEX(tabSuiviConso[Max],MATCH(Tableau72[[#This Row],[Jour]]&amp;"/"&amp;$A$1&amp;"/"&amp;I$1,tabSuiviConso[Jour Mois Année],0),1)</f>
        <v>#N/A</v>
      </c>
      <c r="J18" s="59" t="e">
        <f>INDEX(tabSuiviConso[Conso HP + HC / jour_x000D_
Instantané],MATCH(Tableau72[[#This Row],[Jour]]&amp;"/"&amp;$A$1&amp;"/"&amp;J$1,tabSuiviConso[Jour Mois Année],0),1)</f>
        <v>#N/A</v>
      </c>
      <c r="K18" s="93" t="e">
        <f>Tableau72[[#This Row],[2024]]-Tableau72[[#This Row],[2023]]</f>
        <v>#N/A</v>
      </c>
    </row>
    <row r="19" spans="1:11" x14ac:dyDescent="0.2">
      <c r="A19" s="19">
        <v>17</v>
      </c>
      <c r="B19" s="59" t="e">
        <f>INDEX(tabSuiviConso[Min],MATCH(Tableau72[[#This Row],[Jour]]&amp;"/"&amp;$A$1&amp;"/"&amp;B$1,tabSuiviConso[Jour Mois Année],0),1)</f>
        <v>#N/A</v>
      </c>
      <c r="C19" s="59" t="e">
        <f>INDEX(tabSuiviConso[Max],MATCH(Tableau72[[#This Row],[Jour]]&amp;"/"&amp;$A$1&amp;"/"&amp;C$1,tabSuiviConso[Jour Mois Année],0),1)</f>
        <v>#N/A</v>
      </c>
      <c r="D19" s="59" t="e">
        <f>INDEX(tabSuiviConso[Conso HP + HC / jour_x000D_
Instantané],MATCH(Tableau72[[#This Row],[Jour]]&amp;"/"&amp;$A$1&amp;"/"&amp;D$1,tabSuiviConso[Jour Mois Année],0),1)</f>
        <v>#N/A</v>
      </c>
      <c r="E19" s="59" t="e">
        <f>INDEX(tabSuiviConso[Min],MATCH(Tableau72[[#This Row],[Jour]]&amp;"/"&amp;$A$1&amp;"/"&amp;E$1,tabSuiviConso[Jour Mois Année],0),1)</f>
        <v>#N/A</v>
      </c>
      <c r="F19" s="59" t="e">
        <f>INDEX(tabSuiviConso[Max],MATCH(Tableau72[[#This Row],[Jour]]&amp;"/"&amp;$A$1&amp;"/"&amp;F$1,tabSuiviConso[Jour Mois Année],0),1)</f>
        <v>#N/A</v>
      </c>
      <c r="G19" s="59" t="e">
        <f>INDEX(tabSuiviConso[Conso HP + HC / jour_x000D_
Instantané],MATCH(Tableau72[[#This Row],[Jour]]&amp;"/"&amp;$A$1&amp;"/"&amp;G$1,tabSuiviConso[Jour Mois Année],0),1)</f>
        <v>#N/A</v>
      </c>
      <c r="H19" s="59" t="e">
        <f>INDEX(tabSuiviConso[Min],MATCH(Tableau72[[#This Row],[Jour]]&amp;"/"&amp;$A$1&amp;"/"&amp;H$1,tabSuiviConso[Jour Mois Année],0),1)</f>
        <v>#N/A</v>
      </c>
      <c r="I19" s="59" t="e">
        <f>INDEX(tabSuiviConso[Max],MATCH(Tableau72[[#This Row],[Jour]]&amp;"/"&amp;$A$1&amp;"/"&amp;I$1,tabSuiviConso[Jour Mois Année],0),1)</f>
        <v>#N/A</v>
      </c>
      <c r="J19" s="59" t="e">
        <f>INDEX(tabSuiviConso[Conso HP + HC / jour_x000D_
Instantané],MATCH(Tableau72[[#This Row],[Jour]]&amp;"/"&amp;$A$1&amp;"/"&amp;J$1,tabSuiviConso[Jour Mois Année],0),1)</f>
        <v>#N/A</v>
      </c>
      <c r="K19" s="93" t="e">
        <f>Tableau72[[#This Row],[2024]]-Tableau72[[#This Row],[2023]]</f>
        <v>#N/A</v>
      </c>
    </row>
    <row r="20" spans="1:11" x14ac:dyDescent="0.2">
      <c r="A20" s="19">
        <v>18</v>
      </c>
      <c r="B20" s="59" t="e">
        <f>INDEX(tabSuiviConso[Min],MATCH(Tableau72[[#This Row],[Jour]]&amp;"/"&amp;$A$1&amp;"/"&amp;B$1,tabSuiviConso[Jour Mois Année],0),1)</f>
        <v>#N/A</v>
      </c>
      <c r="C20" s="59" t="e">
        <f>INDEX(tabSuiviConso[Max],MATCH(Tableau72[[#This Row],[Jour]]&amp;"/"&amp;$A$1&amp;"/"&amp;C$1,tabSuiviConso[Jour Mois Année],0),1)</f>
        <v>#N/A</v>
      </c>
      <c r="D20" s="59" t="e">
        <f>INDEX(tabSuiviConso[Conso HP + HC / jour_x000D_
Instantané],MATCH(Tableau72[[#This Row],[Jour]]&amp;"/"&amp;$A$1&amp;"/"&amp;D$1,tabSuiviConso[Jour Mois Année],0),1)</f>
        <v>#N/A</v>
      </c>
      <c r="E20" s="59" t="e">
        <f>INDEX(tabSuiviConso[Min],MATCH(Tableau72[[#This Row],[Jour]]&amp;"/"&amp;$A$1&amp;"/"&amp;E$1,tabSuiviConso[Jour Mois Année],0),1)</f>
        <v>#N/A</v>
      </c>
      <c r="F20" s="59" t="e">
        <f>INDEX(tabSuiviConso[Max],MATCH(Tableau72[[#This Row],[Jour]]&amp;"/"&amp;$A$1&amp;"/"&amp;F$1,tabSuiviConso[Jour Mois Année],0),1)</f>
        <v>#N/A</v>
      </c>
      <c r="G20" s="59" t="e">
        <f>INDEX(tabSuiviConso[Conso HP + HC / jour_x000D_
Instantané],MATCH(Tableau72[[#This Row],[Jour]]&amp;"/"&amp;$A$1&amp;"/"&amp;G$1,tabSuiviConso[Jour Mois Année],0),1)</f>
        <v>#N/A</v>
      </c>
      <c r="H20" s="59" t="e">
        <f>INDEX(tabSuiviConso[Min],MATCH(Tableau72[[#This Row],[Jour]]&amp;"/"&amp;$A$1&amp;"/"&amp;H$1,tabSuiviConso[Jour Mois Année],0),1)</f>
        <v>#N/A</v>
      </c>
      <c r="I20" s="59" t="e">
        <f>INDEX(tabSuiviConso[Max],MATCH(Tableau72[[#This Row],[Jour]]&amp;"/"&amp;$A$1&amp;"/"&amp;I$1,tabSuiviConso[Jour Mois Année],0),1)</f>
        <v>#N/A</v>
      </c>
      <c r="J20" s="59" t="e">
        <f>INDEX(tabSuiviConso[Conso HP + HC / jour_x000D_
Instantané],MATCH(Tableau72[[#This Row],[Jour]]&amp;"/"&amp;$A$1&amp;"/"&amp;J$1,tabSuiviConso[Jour Mois Année],0),1)</f>
        <v>#N/A</v>
      </c>
      <c r="K20" s="93" t="e">
        <f>Tableau72[[#This Row],[2024]]-Tableau72[[#This Row],[2023]]</f>
        <v>#N/A</v>
      </c>
    </row>
    <row r="21" spans="1:11" x14ac:dyDescent="0.2">
      <c r="A21" s="19">
        <v>19</v>
      </c>
      <c r="B21" s="59" t="e">
        <f>INDEX(tabSuiviConso[Min],MATCH(Tableau72[[#This Row],[Jour]]&amp;"/"&amp;$A$1&amp;"/"&amp;B$1,tabSuiviConso[Jour Mois Année],0),1)</f>
        <v>#N/A</v>
      </c>
      <c r="C21" s="59" t="e">
        <f>INDEX(tabSuiviConso[Max],MATCH(Tableau72[[#This Row],[Jour]]&amp;"/"&amp;$A$1&amp;"/"&amp;C$1,tabSuiviConso[Jour Mois Année],0),1)</f>
        <v>#N/A</v>
      </c>
      <c r="D21" s="59" t="e">
        <f>INDEX(tabSuiviConso[Conso HP + HC / jour_x000D_
Instantané],MATCH(Tableau72[[#This Row],[Jour]]&amp;"/"&amp;$A$1&amp;"/"&amp;D$1,tabSuiviConso[Jour Mois Année],0),1)</f>
        <v>#N/A</v>
      </c>
      <c r="E21" s="59" t="e">
        <f>INDEX(tabSuiviConso[Min],MATCH(Tableau72[[#This Row],[Jour]]&amp;"/"&amp;$A$1&amp;"/"&amp;E$1,tabSuiviConso[Jour Mois Année],0),1)</f>
        <v>#N/A</v>
      </c>
      <c r="F21" s="59" t="e">
        <f>INDEX(tabSuiviConso[Max],MATCH(Tableau72[[#This Row],[Jour]]&amp;"/"&amp;$A$1&amp;"/"&amp;F$1,tabSuiviConso[Jour Mois Année],0),1)</f>
        <v>#N/A</v>
      </c>
      <c r="G21" s="59" t="e">
        <f>INDEX(tabSuiviConso[Conso HP + HC / jour_x000D_
Instantané],MATCH(Tableau72[[#This Row],[Jour]]&amp;"/"&amp;$A$1&amp;"/"&amp;G$1,tabSuiviConso[Jour Mois Année],0),1)</f>
        <v>#N/A</v>
      </c>
      <c r="H21" s="59" t="e">
        <f>INDEX(tabSuiviConso[Min],MATCH(Tableau72[[#This Row],[Jour]]&amp;"/"&amp;$A$1&amp;"/"&amp;H$1,tabSuiviConso[Jour Mois Année],0),1)</f>
        <v>#N/A</v>
      </c>
      <c r="I21" s="59" t="e">
        <f>INDEX(tabSuiviConso[Max],MATCH(Tableau72[[#This Row],[Jour]]&amp;"/"&amp;$A$1&amp;"/"&amp;I$1,tabSuiviConso[Jour Mois Année],0),1)</f>
        <v>#N/A</v>
      </c>
      <c r="J21" s="59" t="e">
        <f>INDEX(tabSuiviConso[Conso HP + HC / jour_x000D_
Instantané],MATCH(Tableau72[[#This Row],[Jour]]&amp;"/"&amp;$A$1&amp;"/"&amp;J$1,tabSuiviConso[Jour Mois Année],0),1)</f>
        <v>#N/A</v>
      </c>
      <c r="K21" s="93" t="e">
        <f>Tableau72[[#This Row],[2024]]-Tableau72[[#This Row],[2023]]</f>
        <v>#N/A</v>
      </c>
    </row>
    <row r="22" spans="1:11" x14ac:dyDescent="0.2">
      <c r="A22" s="19">
        <v>20</v>
      </c>
      <c r="B22" s="59" t="e">
        <f>INDEX(tabSuiviConso[Min],MATCH(Tableau72[[#This Row],[Jour]]&amp;"/"&amp;$A$1&amp;"/"&amp;B$1,tabSuiviConso[Jour Mois Année],0),1)</f>
        <v>#N/A</v>
      </c>
      <c r="C22" s="59" t="e">
        <f>INDEX(tabSuiviConso[Max],MATCH(Tableau72[[#This Row],[Jour]]&amp;"/"&amp;$A$1&amp;"/"&amp;C$1,tabSuiviConso[Jour Mois Année],0),1)</f>
        <v>#N/A</v>
      </c>
      <c r="D22" s="59" t="e">
        <f>INDEX(tabSuiviConso[Conso HP + HC / jour_x000D_
Instantané],MATCH(Tableau72[[#This Row],[Jour]]&amp;"/"&amp;$A$1&amp;"/"&amp;D$1,tabSuiviConso[Jour Mois Année],0),1)</f>
        <v>#N/A</v>
      </c>
      <c r="E22" s="59" t="e">
        <f>INDEX(tabSuiviConso[Min],MATCH(Tableau72[[#This Row],[Jour]]&amp;"/"&amp;$A$1&amp;"/"&amp;E$1,tabSuiviConso[Jour Mois Année],0),1)</f>
        <v>#N/A</v>
      </c>
      <c r="F22" s="59" t="e">
        <f>INDEX(tabSuiviConso[Max],MATCH(Tableau72[[#This Row],[Jour]]&amp;"/"&amp;$A$1&amp;"/"&amp;F$1,tabSuiviConso[Jour Mois Année],0),1)</f>
        <v>#N/A</v>
      </c>
      <c r="G22" s="59" t="e">
        <f>INDEX(tabSuiviConso[Conso HP + HC / jour_x000D_
Instantané],MATCH(Tableau72[[#This Row],[Jour]]&amp;"/"&amp;$A$1&amp;"/"&amp;G$1,tabSuiviConso[Jour Mois Année],0),1)</f>
        <v>#N/A</v>
      </c>
      <c r="H22" s="59" t="e">
        <f>INDEX(tabSuiviConso[Min],MATCH(Tableau72[[#This Row],[Jour]]&amp;"/"&amp;$A$1&amp;"/"&amp;H$1,tabSuiviConso[Jour Mois Année],0),1)</f>
        <v>#N/A</v>
      </c>
      <c r="I22" s="59" t="e">
        <f>INDEX(tabSuiviConso[Max],MATCH(Tableau72[[#This Row],[Jour]]&amp;"/"&amp;$A$1&amp;"/"&amp;I$1,tabSuiviConso[Jour Mois Année],0),1)</f>
        <v>#N/A</v>
      </c>
      <c r="J22" s="59" t="e">
        <f>INDEX(tabSuiviConso[Conso HP + HC / jour_x000D_
Instantané],MATCH(Tableau72[[#This Row],[Jour]]&amp;"/"&amp;$A$1&amp;"/"&amp;J$1,tabSuiviConso[Jour Mois Année],0),1)</f>
        <v>#N/A</v>
      </c>
      <c r="K22" s="93" t="e">
        <f>Tableau72[[#This Row],[2024]]-Tableau72[[#This Row],[2023]]</f>
        <v>#N/A</v>
      </c>
    </row>
    <row r="23" spans="1:11" x14ac:dyDescent="0.2">
      <c r="A23" s="19">
        <v>21</v>
      </c>
      <c r="B23" s="59" t="e">
        <f>INDEX(tabSuiviConso[Min],MATCH(Tableau72[[#This Row],[Jour]]&amp;"/"&amp;$A$1&amp;"/"&amp;B$1,tabSuiviConso[Jour Mois Année],0),1)</f>
        <v>#N/A</v>
      </c>
      <c r="C23" s="59" t="e">
        <f>INDEX(tabSuiviConso[Max],MATCH(Tableau72[[#This Row],[Jour]]&amp;"/"&amp;$A$1&amp;"/"&amp;C$1,tabSuiviConso[Jour Mois Année],0),1)</f>
        <v>#N/A</v>
      </c>
      <c r="D23" s="59" t="e">
        <f>INDEX(tabSuiviConso[Conso HP + HC / jour_x000D_
Instantané],MATCH(Tableau72[[#This Row],[Jour]]&amp;"/"&amp;$A$1&amp;"/"&amp;D$1,tabSuiviConso[Jour Mois Année],0),1)</f>
        <v>#N/A</v>
      </c>
      <c r="E23" s="59" t="e">
        <f>INDEX(tabSuiviConso[Min],MATCH(Tableau72[[#This Row],[Jour]]&amp;"/"&amp;$A$1&amp;"/"&amp;E$1,tabSuiviConso[Jour Mois Année],0),1)</f>
        <v>#N/A</v>
      </c>
      <c r="F23" s="59" t="e">
        <f>INDEX(tabSuiviConso[Max],MATCH(Tableau72[[#This Row],[Jour]]&amp;"/"&amp;$A$1&amp;"/"&amp;F$1,tabSuiviConso[Jour Mois Année],0),1)</f>
        <v>#N/A</v>
      </c>
      <c r="G23" s="59" t="e">
        <f>INDEX(tabSuiviConso[Conso HP + HC / jour_x000D_
Instantané],MATCH(Tableau72[[#This Row],[Jour]]&amp;"/"&amp;$A$1&amp;"/"&amp;G$1,tabSuiviConso[Jour Mois Année],0),1)</f>
        <v>#N/A</v>
      </c>
      <c r="H23" s="59" t="e">
        <f>INDEX(tabSuiviConso[Min],MATCH(Tableau72[[#This Row],[Jour]]&amp;"/"&amp;$A$1&amp;"/"&amp;H$1,tabSuiviConso[Jour Mois Année],0),1)</f>
        <v>#N/A</v>
      </c>
      <c r="I23" s="59" t="e">
        <f>INDEX(tabSuiviConso[Max],MATCH(Tableau72[[#This Row],[Jour]]&amp;"/"&amp;$A$1&amp;"/"&amp;I$1,tabSuiviConso[Jour Mois Année],0),1)</f>
        <v>#N/A</v>
      </c>
      <c r="J23" s="59" t="e">
        <f>INDEX(tabSuiviConso[Conso HP + HC / jour_x000D_
Instantané],MATCH(Tableau72[[#This Row],[Jour]]&amp;"/"&amp;$A$1&amp;"/"&amp;J$1,tabSuiviConso[Jour Mois Année],0),1)</f>
        <v>#N/A</v>
      </c>
      <c r="K23" s="93" t="e">
        <f>Tableau72[[#This Row],[2024]]-Tableau72[[#This Row],[2023]]</f>
        <v>#N/A</v>
      </c>
    </row>
    <row r="24" spans="1:11" x14ac:dyDescent="0.2">
      <c r="A24" s="19">
        <v>22</v>
      </c>
      <c r="B24" s="59" t="e">
        <f>INDEX(tabSuiviConso[Min],MATCH(Tableau72[[#This Row],[Jour]]&amp;"/"&amp;$A$1&amp;"/"&amp;B$1,tabSuiviConso[Jour Mois Année],0),1)</f>
        <v>#N/A</v>
      </c>
      <c r="C24" s="59" t="e">
        <f>INDEX(tabSuiviConso[Max],MATCH(Tableau72[[#This Row],[Jour]]&amp;"/"&amp;$A$1&amp;"/"&amp;C$1,tabSuiviConso[Jour Mois Année],0),1)</f>
        <v>#N/A</v>
      </c>
      <c r="D24" s="59" t="e">
        <f>INDEX(tabSuiviConso[Conso HP + HC / jour_x000D_
Instantané],MATCH(Tableau72[[#This Row],[Jour]]&amp;"/"&amp;$A$1&amp;"/"&amp;D$1,tabSuiviConso[Jour Mois Année],0),1)</f>
        <v>#N/A</v>
      </c>
      <c r="E24" s="59" t="e">
        <f>INDEX(tabSuiviConso[Min],MATCH(Tableau72[[#This Row],[Jour]]&amp;"/"&amp;$A$1&amp;"/"&amp;E$1,tabSuiviConso[Jour Mois Année],0),1)</f>
        <v>#N/A</v>
      </c>
      <c r="F24" s="59" t="e">
        <f>INDEX(tabSuiviConso[Max],MATCH(Tableau72[[#This Row],[Jour]]&amp;"/"&amp;$A$1&amp;"/"&amp;F$1,tabSuiviConso[Jour Mois Année],0),1)</f>
        <v>#N/A</v>
      </c>
      <c r="G24" s="59" t="e">
        <f>INDEX(tabSuiviConso[Conso HP + HC / jour_x000D_
Instantané],MATCH(Tableau72[[#This Row],[Jour]]&amp;"/"&amp;$A$1&amp;"/"&amp;G$1,tabSuiviConso[Jour Mois Année],0),1)</f>
        <v>#N/A</v>
      </c>
      <c r="H24" s="59" t="e">
        <f>INDEX(tabSuiviConso[Min],MATCH(Tableau72[[#This Row],[Jour]]&amp;"/"&amp;$A$1&amp;"/"&amp;H$1,tabSuiviConso[Jour Mois Année],0),1)</f>
        <v>#N/A</v>
      </c>
      <c r="I24" s="59" t="e">
        <f>INDEX(tabSuiviConso[Max],MATCH(Tableau72[[#This Row],[Jour]]&amp;"/"&amp;$A$1&amp;"/"&amp;I$1,tabSuiviConso[Jour Mois Année],0),1)</f>
        <v>#N/A</v>
      </c>
      <c r="J24" s="59" t="e">
        <f>INDEX(tabSuiviConso[Conso HP + HC / jour_x000D_
Instantané],MATCH(Tableau72[[#This Row],[Jour]]&amp;"/"&amp;$A$1&amp;"/"&amp;J$1,tabSuiviConso[Jour Mois Année],0),1)</f>
        <v>#N/A</v>
      </c>
      <c r="K24" s="93" t="e">
        <f>Tableau72[[#This Row],[2024]]-Tableau72[[#This Row],[2023]]</f>
        <v>#N/A</v>
      </c>
    </row>
    <row r="25" spans="1:11" x14ac:dyDescent="0.2">
      <c r="A25" s="19">
        <v>23</v>
      </c>
      <c r="B25" s="59" t="e">
        <f>INDEX(tabSuiviConso[Min],MATCH(Tableau72[[#This Row],[Jour]]&amp;"/"&amp;$A$1&amp;"/"&amp;B$1,tabSuiviConso[Jour Mois Année],0),1)</f>
        <v>#N/A</v>
      </c>
      <c r="C25" s="59" t="e">
        <f>INDEX(tabSuiviConso[Max],MATCH(Tableau72[[#This Row],[Jour]]&amp;"/"&amp;$A$1&amp;"/"&amp;C$1,tabSuiviConso[Jour Mois Année],0),1)</f>
        <v>#N/A</v>
      </c>
      <c r="D25" s="59" t="e">
        <f>INDEX(tabSuiviConso[Conso HP + HC / jour_x000D_
Instantané],MATCH(Tableau72[[#This Row],[Jour]]&amp;"/"&amp;$A$1&amp;"/"&amp;D$1,tabSuiviConso[Jour Mois Année],0),1)</f>
        <v>#N/A</v>
      </c>
      <c r="E25" s="59" t="e">
        <f>INDEX(tabSuiviConso[Min],MATCH(Tableau72[[#This Row],[Jour]]&amp;"/"&amp;$A$1&amp;"/"&amp;E$1,tabSuiviConso[Jour Mois Année],0),1)</f>
        <v>#N/A</v>
      </c>
      <c r="F25" s="59" t="e">
        <f>INDEX(tabSuiviConso[Max],MATCH(Tableau72[[#This Row],[Jour]]&amp;"/"&amp;$A$1&amp;"/"&amp;F$1,tabSuiviConso[Jour Mois Année],0),1)</f>
        <v>#N/A</v>
      </c>
      <c r="G25" s="59" t="e">
        <f>INDEX(tabSuiviConso[Conso HP + HC / jour_x000D_
Instantané],MATCH(Tableau72[[#This Row],[Jour]]&amp;"/"&amp;$A$1&amp;"/"&amp;G$1,tabSuiviConso[Jour Mois Année],0),1)</f>
        <v>#N/A</v>
      </c>
      <c r="H25" s="59" t="e">
        <f>INDEX(tabSuiviConso[Min],MATCH(Tableau72[[#This Row],[Jour]]&amp;"/"&amp;$A$1&amp;"/"&amp;H$1,tabSuiviConso[Jour Mois Année],0),1)</f>
        <v>#N/A</v>
      </c>
      <c r="I25" s="59" t="e">
        <f>INDEX(tabSuiviConso[Max],MATCH(Tableau72[[#This Row],[Jour]]&amp;"/"&amp;$A$1&amp;"/"&amp;I$1,tabSuiviConso[Jour Mois Année],0),1)</f>
        <v>#N/A</v>
      </c>
      <c r="J25" s="59" t="e">
        <f>INDEX(tabSuiviConso[Conso HP + HC / jour_x000D_
Instantané],MATCH(Tableau72[[#This Row],[Jour]]&amp;"/"&amp;$A$1&amp;"/"&amp;J$1,tabSuiviConso[Jour Mois Année],0),1)</f>
        <v>#N/A</v>
      </c>
      <c r="K25" s="93" t="e">
        <f>Tableau72[[#This Row],[2024]]-Tableau72[[#This Row],[2023]]</f>
        <v>#N/A</v>
      </c>
    </row>
    <row r="26" spans="1:11" x14ac:dyDescent="0.2">
      <c r="A26" s="19">
        <v>24</v>
      </c>
      <c r="B26" s="59" t="e">
        <f>INDEX(tabSuiviConso[Min],MATCH(Tableau72[[#This Row],[Jour]]&amp;"/"&amp;$A$1&amp;"/"&amp;B$1,tabSuiviConso[Jour Mois Année],0),1)</f>
        <v>#N/A</v>
      </c>
      <c r="C26" s="59" t="e">
        <f>INDEX(tabSuiviConso[Max],MATCH(Tableau72[[#This Row],[Jour]]&amp;"/"&amp;$A$1&amp;"/"&amp;C$1,tabSuiviConso[Jour Mois Année],0),1)</f>
        <v>#N/A</v>
      </c>
      <c r="D26" s="59" t="e">
        <f>INDEX(tabSuiviConso[Conso HP + HC / jour_x000D_
Instantané],MATCH(Tableau72[[#This Row],[Jour]]&amp;"/"&amp;$A$1&amp;"/"&amp;D$1,tabSuiviConso[Jour Mois Année],0),1)</f>
        <v>#N/A</v>
      </c>
      <c r="E26" s="59" t="e">
        <f>INDEX(tabSuiviConso[Min],MATCH(Tableau72[[#This Row],[Jour]]&amp;"/"&amp;$A$1&amp;"/"&amp;E$1,tabSuiviConso[Jour Mois Année],0),1)</f>
        <v>#N/A</v>
      </c>
      <c r="F26" s="59" t="e">
        <f>INDEX(tabSuiviConso[Max],MATCH(Tableau72[[#This Row],[Jour]]&amp;"/"&amp;$A$1&amp;"/"&amp;F$1,tabSuiviConso[Jour Mois Année],0),1)</f>
        <v>#N/A</v>
      </c>
      <c r="G26" s="59" t="e">
        <f>INDEX(tabSuiviConso[Conso HP + HC / jour_x000D_
Instantané],MATCH(Tableau72[[#This Row],[Jour]]&amp;"/"&amp;$A$1&amp;"/"&amp;G$1,tabSuiviConso[Jour Mois Année],0),1)</f>
        <v>#N/A</v>
      </c>
      <c r="H26" s="59" t="e">
        <f>INDEX(tabSuiviConso[Min],MATCH(Tableau72[[#This Row],[Jour]]&amp;"/"&amp;$A$1&amp;"/"&amp;H$1,tabSuiviConso[Jour Mois Année],0),1)</f>
        <v>#N/A</v>
      </c>
      <c r="I26" s="59" t="e">
        <f>INDEX(tabSuiviConso[Max],MATCH(Tableau72[[#This Row],[Jour]]&amp;"/"&amp;$A$1&amp;"/"&amp;I$1,tabSuiviConso[Jour Mois Année],0),1)</f>
        <v>#N/A</v>
      </c>
      <c r="J26" s="59" t="e">
        <f>INDEX(tabSuiviConso[Conso HP + HC / jour_x000D_
Instantané],MATCH(Tableau72[[#This Row],[Jour]]&amp;"/"&amp;$A$1&amp;"/"&amp;J$1,tabSuiviConso[Jour Mois Année],0),1)</f>
        <v>#N/A</v>
      </c>
      <c r="K26" s="93" t="e">
        <f>Tableau72[[#This Row],[2024]]-Tableau72[[#This Row],[2023]]</f>
        <v>#N/A</v>
      </c>
    </row>
    <row r="27" spans="1:11" x14ac:dyDescent="0.2">
      <c r="A27" s="19">
        <v>25</v>
      </c>
      <c r="B27" s="59" t="e">
        <f>INDEX(tabSuiviConso[Min],MATCH(Tableau72[[#This Row],[Jour]]&amp;"/"&amp;$A$1&amp;"/"&amp;B$1,tabSuiviConso[Jour Mois Année],0),1)</f>
        <v>#N/A</v>
      </c>
      <c r="C27" s="59" t="e">
        <f>INDEX(tabSuiviConso[Max],MATCH(Tableau72[[#This Row],[Jour]]&amp;"/"&amp;$A$1&amp;"/"&amp;C$1,tabSuiviConso[Jour Mois Année],0),1)</f>
        <v>#N/A</v>
      </c>
      <c r="D27" s="59" t="e">
        <f>INDEX(tabSuiviConso[Conso HP + HC / jour_x000D_
Instantané],MATCH(Tableau72[[#This Row],[Jour]]&amp;"/"&amp;$A$1&amp;"/"&amp;D$1,tabSuiviConso[Jour Mois Année],0),1)</f>
        <v>#N/A</v>
      </c>
      <c r="E27" s="59" t="e">
        <f>INDEX(tabSuiviConso[Min],MATCH(Tableau72[[#This Row],[Jour]]&amp;"/"&amp;$A$1&amp;"/"&amp;E$1,tabSuiviConso[Jour Mois Année],0),1)</f>
        <v>#N/A</v>
      </c>
      <c r="F27" s="59" t="e">
        <f>INDEX(tabSuiviConso[Max],MATCH(Tableau72[[#This Row],[Jour]]&amp;"/"&amp;$A$1&amp;"/"&amp;F$1,tabSuiviConso[Jour Mois Année],0),1)</f>
        <v>#N/A</v>
      </c>
      <c r="G27" s="59" t="e">
        <f>INDEX(tabSuiviConso[Conso HP + HC / jour_x000D_
Instantané],MATCH(Tableau72[[#This Row],[Jour]]&amp;"/"&amp;$A$1&amp;"/"&amp;G$1,tabSuiviConso[Jour Mois Année],0),1)</f>
        <v>#N/A</v>
      </c>
      <c r="H27" s="59" t="e">
        <f>INDEX(tabSuiviConso[Min],MATCH(Tableau72[[#This Row],[Jour]]&amp;"/"&amp;$A$1&amp;"/"&amp;H$1,tabSuiviConso[Jour Mois Année],0),1)</f>
        <v>#N/A</v>
      </c>
      <c r="I27" s="59" t="e">
        <f>INDEX(tabSuiviConso[Max],MATCH(Tableau72[[#This Row],[Jour]]&amp;"/"&amp;$A$1&amp;"/"&amp;I$1,tabSuiviConso[Jour Mois Année],0),1)</f>
        <v>#N/A</v>
      </c>
      <c r="J27" s="59" t="e">
        <f>INDEX(tabSuiviConso[Conso HP + HC / jour_x000D_
Instantané],MATCH(Tableau72[[#This Row],[Jour]]&amp;"/"&amp;$A$1&amp;"/"&amp;J$1,tabSuiviConso[Jour Mois Année],0),1)</f>
        <v>#N/A</v>
      </c>
      <c r="K27" s="93" t="e">
        <f>Tableau72[[#This Row],[2024]]-Tableau72[[#This Row],[2023]]</f>
        <v>#N/A</v>
      </c>
    </row>
    <row r="28" spans="1:11" x14ac:dyDescent="0.2">
      <c r="A28" s="19">
        <v>26</v>
      </c>
      <c r="B28" s="59" t="e">
        <f>INDEX(tabSuiviConso[Min],MATCH(Tableau72[[#This Row],[Jour]]&amp;"/"&amp;$A$1&amp;"/"&amp;B$1,tabSuiviConso[Jour Mois Année],0),1)</f>
        <v>#N/A</v>
      </c>
      <c r="C28" s="59" t="e">
        <f>INDEX(tabSuiviConso[Max],MATCH(Tableau72[[#This Row],[Jour]]&amp;"/"&amp;$A$1&amp;"/"&amp;C$1,tabSuiviConso[Jour Mois Année],0),1)</f>
        <v>#N/A</v>
      </c>
      <c r="D28" s="59" t="e">
        <f>INDEX(tabSuiviConso[Conso HP + HC / jour_x000D_
Instantané],MATCH(Tableau72[[#This Row],[Jour]]&amp;"/"&amp;$A$1&amp;"/"&amp;D$1,tabSuiviConso[Jour Mois Année],0),1)</f>
        <v>#N/A</v>
      </c>
      <c r="E28" s="59" t="e">
        <f>INDEX(tabSuiviConso[Min],MATCH(Tableau72[[#This Row],[Jour]]&amp;"/"&amp;$A$1&amp;"/"&amp;E$1,tabSuiviConso[Jour Mois Année],0),1)</f>
        <v>#N/A</v>
      </c>
      <c r="F28" s="59" t="e">
        <f>INDEX(tabSuiviConso[Max],MATCH(Tableau72[[#This Row],[Jour]]&amp;"/"&amp;$A$1&amp;"/"&amp;F$1,tabSuiviConso[Jour Mois Année],0),1)</f>
        <v>#N/A</v>
      </c>
      <c r="G28" s="59" t="e">
        <f>INDEX(tabSuiviConso[Conso HP + HC / jour_x000D_
Instantané],MATCH(Tableau72[[#This Row],[Jour]]&amp;"/"&amp;$A$1&amp;"/"&amp;G$1,tabSuiviConso[Jour Mois Année],0),1)</f>
        <v>#N/A</v>
      </c>
      <c r="H28" s="59" t="e">
        <f>INDEX(tabSuiviConso[Min],MATCH(Tableau72[[#This Row],[Jour]]&amp;"/"&amp;$A$1&amp;"/"&amp;H$1,tabSuiviConso[Jour Mois Année],0),1)</f>
        <v>#N/A</v>
      </c>
      <c r="I28" s="59" t="e">
        <f>INDEX(tabSuiviConso[Max],MATCH(Tableau72[[#This Row],[Jour]]&amp;"/"&amp;$A$1&amp;"/"&amp;I$1,tabSuiviConso[Jour Mois Année],0),1)</f>
        <v>#N/A</v>
      </c>
      <c r="J28" s="59" t="e">
        <f>INDEX(tabSuiviConso[Conso HP + HC / jour_x000D_
Instantané],MATCH(Tableau72[[#This Row],[Jour]]&amp;"/"&amp;$A$1&amp;"/"&amp;J$1,tabSuiviConso[Jour Mois Année],0),1)</f>
        <v>#N/A</v>
      </c>
      <c r="K28" s="93" t="e">
        <f>Tableau72[[#This Row],[2024]]-Tableau72[[#This Row],[2023]]</f>
        <v>#N/A</v>
      </c>
    </row>
    <row r="29" spans="1:11" x14ac:dyDescent="0.2">
      <c r="A29" s="19">
        <v>27</v>
      </c>
      <c r="B29" s="59" t="e">
        <f>INDEX(tabSuiviConso[Min],MATCH(Tableau72[[#This Row],[Jour]]&amp;"/"&amp;$A$1&amp;"/"&amp;B$1,tabSuiviConso[Jour Mois Année],0),1)</f>
        <v>#N/A</v>
      </c>
      <c r="C29" s="59" t="e">
        <f>INDEX(tabSuiviConso[Max],MATCH(Tableau72[[#This Row],[Jour]]&amp;"/"&amp;$A$1&amp;"/"&amp;C$1,tabSuiviConso[Jour Mois Année],0),1)</f>
        <v>#N/A</v>
      </c>
      <c r="D29" s="59" t="e">
        <f>INDEX(tabSuiviConso[Conso HP + HC / jour_x000D_
Instantané],MATCH(Tableau72[[#This Row],[Jour]]&amp;"/"&amp;$A$1&amp;"/"&amp;D$1,tabSuiviConso[Jour Mois Année],0),1)</f>
        <v>#N/A</v>
      </c>
      <c r="E29" s="59" t="e">
        <f>INDEX(tabSuiviConso[Min],MATCH(Tableau72[[#This Row],[Jour]]&amp;"/"&amp;$A$1&amp;"/"&amp;E$1,tabSuiviConso[Jour Mois Année],0),1)</f>
        <v>#N/A</v>
      </c>
      <c r="F29" s="59" t="e">
        <f>INDEX(tabSuiviConso[Max],MATCH(Tableau72[[#This Row],[Jour]]&amp;"/"&amp;$A$1&amp;"/"&amp;F$1,tabSuiviConso[Jour Mois Année],0),1)</f>
        <v>#N/A</v>
      </c>
      <c r="G29" s="59" t="e">
        <f>INDEX(tabSuiviConso[Conso HP + HC / jour_x000D_
Instantané],MATCH(Tableau72[[#This Row],[Jour]]&amp;"/"&amp;$A$1&amp;"/"&amp;G$1,tabSuiviConso[Jour Mois Année],0),1)</f>
        <v>#N/A</v>
      </c>
      <c r="H29" s="59" t="e">
        <f>INDEX(tabSuiviConso[Min],MATCH(Tableau72[[#This Row],[Jour]]&amp;"/"&amp;$A$1&amp;"/"&amp;H$1,tabSuiviConso[Jour Mois Année],0),1)</f>
        <v>#N/A</v>
      </c>
      <c r="I29" s="59" t="e">
        <f>INDEX(tabSuiviConso[Max],MATCH(Tableau72[[#This Row],[Jour]]&amp;"/"&amp;$A$1&amp;"/"&amp;I$1,tabSuiviConso[Jour Mois Année],0),1)</f>
        <v>#N/A</v>
      </c>
      <c r="J29" s="59" t="e">
        <f>INDEX(tabSuiviConso[Conso HP + HC / jour_x000D_
Instantané],MATCH(Tableau72[[#This Row],[Jour]]&amp;"/"&amp;$A$1&amp;"/"&amp;J$1,tabSuiviConso[Jour Mois Année],0),1)</f>
        <v>#N/A</v>
      </c>
      <c r="K29" s="93" t="e">
        <f>Tableau72[[#This Row],[2024]]-Tableau72[[#This Row],[2023]]</f>
        <v>#N/A</v>
      </c>
    </row>
    <row r="30" spans="1:11" x14ac:dyDescent="0.2">
      <c r="A30" s="19">
        <v>28</v>
      </c>
      <c r="B30" s="59" t="e">
        <f>INDEX(tabSuiviConso[Min],MATCH(Tableau72[[#This Row],[Jour]]&amp;"/"&amp;$A$1&amp;"/"&amp;B$1,tabSuiviConso[Jour Mois Année],0),1)</f>
        <v>#N/A</v>
      </c>
      <c r="C30" s="59" t="e">
        <f>INDEX(tabSuiviConso[Max],MATCH(Tableau72[[#This Row],[Jour]]&amp;"/"&amp;$A$1&amp;"/"&amp;C$1,tabSuiviConso[Jour Mois Année],0),1)</f>
        <v>#N/A</v>
      </c>
      <c r="D30" s="59" t="e">
        <f>INDEX(tabSuiviConso[Conso HP + HC / jour_x000D_
Instantané],MATCH(Tableau72[[#This Row],[Jour]]&amp;"/"&amp;$A$1&amp;"/"&amp;D$1,tabSuiviConso[Jour Mois Année],0),1)</f>
        <v>#N/A</v>
      </c>
      <c r="E30" s="59" t="e">
        <f>INDEX(tabSuiviConso[Min],MATCH(Tableau72[[#This Row],[Jour]]&amp;"/"&amp;$A$1&amp;"/"&amp;E$1,tabSuiviConso[Jour Mois Année],0),1)</f>
        <v>#N/A</v>
      </c>
      <c r="F30" s="59" t="e">
        <f>INDEX(tabSuiviConso[Max],MATCH(Tableau72[[#This Row],[Jour]]&amp;"/"&amp;$A$1&amp;"/"&amp;F$1,tabSuiviConso[Jour Mois Année],0),1)</f>
        <v>#N/A</v>
      </c>
      <c r="G30" s="59" t="e">
        <f>INDEX(tabSuiviConso[Conso HP + HC / jour_x000D_
Instantané],MATCH(Tableau72[[#This Row],[Jour]]&amp;"/"&amp;$A$1&amp;"/"&amp;G$1,tabSuiviConso[Jour Mois Année],0),1)</f>
        <v>#N/A</v>
      </c>
      <c r="H30" s="59" t="e">
        <f>INDEX(tabSuiviConso[Min],MATCH(Tableau72[[#This Row],[Jour]]&amp;"/"&amp;$A$1&amp;"/"&amp;H$1,tabSuiviConso[Jour Mois Année],0),1)</f>
        <v>#N/A</v>
      </c>
      <c r="I30" s="59" t="e">
        <f>INDEX(tabSuiviConso[Max],MATCH(Tableau72[[#This Row],[Jour]]&amp;"/"&amp;$A$1&amp;"/"&amp;I$1,tabSuiviConso[Jour Mois Année],0),1)</f>
        <v>#N/A</v>
      </c>
      <c r="J30" s="59" t="e">
        <f>INDEX(tabSuiviConso[Conso HP + HC / jour_x000D_
Instantané],MATCH(Tableau72[[#This Row],[Jour]]&amp;"/"&amp;$A$1&amp;"/"&amp;J$1,tabSuiviConso[Jour Mois Année],0),1)</f>
        <v>#N/A</v>
      </c>
      <c r="K30" s="93" t="e">
        <f>Tableau72[[#This Row],[2024]]-Tableau72[[#This Row],[2023]]</f>
        <v>#N/A</v>
      </c>
    </row>
    <row r="31" spans="1:11" x14ac:dyDescent="0.2">
      <c r="A31" s="19">
        <v>29</v>
      </c>
      <c r="B31" s="59" t="e">
        <f>INDEX(tabSuiviConso[Min],MATCH(Tableau72[[#This Row],[Jour]]&amp;"/"&amp;$A$1&amp;"/"&amp;B$1,tabSuiviConso[Jour Mois Année],0),1)</f>
        <v>#N/A</v>
      </c>
      <c r="C31" s="59" t="e">
        <f>INDEX(tabSuiviConso[Max],MATCH(Tableau72[[#This Row],[Jour]]&amp;"/"&amp;$A$1&amp;"/"&amp;C$1,tabSuiviConso[Jour Mois Année],0),1)</f>
        <v>#N/A</v>
      </c>
      <c r="D31" s="59" t="e">
        <f>INDEX(tabSuiviConso[Conso HP + HC / jour_x000D_
Instantané],MATCH(Tableau72[[#This Row],[Jour]]&amp;"/"&amp;$A$1&amp;"/"&amp;D$1,tabSuiviConso[Jour Mois Année],0),1)</f>
        <v>#N/A</v>
      </c>
      <c r="E31" s="59" t="e">
        <f>INDEX(tabSuiviConso[Min],MATCH(Tableau72[[#This Row],[Jour]]&amp;"/"&amp;$A$1&amp;"/"&amp;E$1,tabSuiviConso[Jour Mois Année],0),1)</f>
        <v>#N/A</v>
      </c>
      <c r="F31" s="59" t="e">
        <f>INDEX(tabSuiviConso[Max],MATCH(Tableau72[[#This Row],[Jour]]&amp;"/"&amp;$A$1&amp;"/"&amp;F$1,tabSuiviConso[Jour Mois Année],0),1)</f>
        <v>#N/A</v>
      </c>
      <c r="G31" s="59" t="e">
        <f>INDEX(tabSuiviConso[Conso HP + HC / jour_x000D_
Instantané],MATCH(Tableau72[[#This Row],[Jour]]&amp;"/"&amp;$A$1&amp;"/"&amp;G$1,tabSuiviConso[Jour Mois Année],0),1)</f>
        <v>#N/A</v>
      </c>
      <c r="H31" s="59" t="e">
        <f>INDEX(tabSuiviConso[Min],MATCH(Tableau72[[#This Row],[Jour]]&amp;"/"&amp;$A$1&amp;"/"&amp;H$1,tabSuiviConso[Jour Mois Année],0),1)</f>
        <v>#N/A</v>
      </c>
      <c r="I31" s="59" t="e">
        <f>INDEX(tabSuiviConso[Max],MATCH(Tableau72[[#This Row],[Jour]]&amp;"/"&amp;$A$1&amp;"/"&amp;I$1,tabSuiviConso[Jour Mois Année],0),1)</f>
        <v>#N/A</v>
      </c>
      <c r="J31" s="59" t="e">
        <f>INDEX(tabSuiviConso[Conso HP + HC / jour_x000D_
Instantané],MATCH(Tableau72[[#This Row],[Jour]]&amp;"/"&amp;$A$1&amp;"/"&amp;J$1,tabSuiviConso[Jour Mois Année],0),1)</f>
        <v>#N/A</v>
      </c>
      <c r="K31" s="93" t="e">
        <f>Tableau72[[#This Row],[2024]]-Tableau72[[#This Row],[2023]]</f>
        <v>#N/A</v>
      </c>
    </row>
    <row r="32" spans="1:11" x14ac:dyDescent="0.2">
      <c r="A32" s="19">
        <v>30</v>
      </c>
      <c r="B32" s="59" t="e">
        <f>INDEX(tabSuiviConso[Min],MATCH(Tableau72[[#This Row],[Jour]]&amp;"/"&amp;$A$1&amp;"/"&amp;B$1,tabSuiviConso[Jour Mois Année],0),1)</f>
        <v>#N/A</v>
      </c>
      <c r="C32" s="59" t="e">
        <f>INDEX(tabSuiviConso[Max],MATCH(Tableau72[[#This Row],[Jour]]&amp;"/"&amp;$A$1&amp;"/"&amp;C$1,tabSuiviConso[Jour Mois Année],0),1)</f>
        <v>#N/A</v>
      </c>
      <c r="D32" s="59" t="e">
        <f>INDEX(tabSuiviConso[Conso HP + HC / jour_x000D_
Instantané],MATCH(Tableau72[[#This Row],[Jour]]&amp;"/"&amp;$A$1&amp;"/"&amp;D$1,tabSuiviConso[Jour Mois Année],0),1)</f>
        <v>#N/A</v>
      </c>
      <c r="E32" s="59" t="e">
        <f>INDEX(tabSuiviConso[Min],MATCH(Tableau72[[#This Row],[Jour]]&amp;"/"&amp;$A$1&amp;"/"&amp;E$1,tabSuiviConso[Jour Mois Année],0),1)</f>
        <v>#N/A</v>
      </c>
      <c r="F32" s="59" t="e">
        <f>INDEX(tabSuiviConso[Max],MATCH(Tableau72[[#This Row],[Jour]]&amp;"/"&amp;$A$1&amp;"/"&amp;F$1,tabSuiviConso[Jour Mois Année],0),1)</f>
        <v>#N/A</v>
      </c>
      <c r="G32" s="59" t="e">
        <f>INDEX(tabSuiviConso[Conso HP + HC / jour_x000D_
Instantané],MATCH(Tableau72[[#This Row],[Jour]]&amp;"/"&amp;$A$1&amp;"/"&amp;G$1,tabSuiviConso[Jour Mois Année],0),1)</f>
        <v>#N/A</v>
      </c>
      <c r="H32" s="59" t="e">
        <f>INDEX(tabSuiviConso[Min],MATCH(Tableau72[[#This Row],[Jour]]&amp;"/"&amp;$A$1&amp;"/"&amp;H$1,tabSuiviConso[Jour Mois Année],0),1)</f>
        <v>#N/A</v>
      </c>
      <c r="I32" s="59" t="e">
        <f>INDEX(tabSuiviConso[Max],MATCH(Tableau72[[#This Row],[Jour]]&amp;"/"&amp;$A$1&amp;"/"&amp;I$1,tabSuiviConso[Jour Mois Année],0),1)</f>
        <v>#N/A</v>
      </c>
      <c r="J32" s="59" t="e">
        <f>INDEX(tabSuiviConso[Conso HP + HC / jour_x000D_
Instantané],MATCH(Tableau72[[#This Row],[Jour]]&amp;"/"&amp;$A$1&amp;"/"&amp;J$1,tabSuiviConso[Jour Mois Année],0),1)</f>
        <v>#N/A</v>
      </c>
      <c r="K32" s="93" t="e">
        <f>Tableau72[[#This Row],[2024]]-Tableau72[[#This Row],[2023]]</f>
        <v>#N/A</v>
      </c>
    </row>
    <row r="33" spans="1:11" x14ac:dyDescent="0.2">
      <c r="A33" s="19">
        <v>31</v>
      </c>
      <c r="B33" s="59" t="e">
        <f>INDEX(tabSuiviConso[Min],MATCH(Tableau72[[#This Row],[Jour]]&amp;"/"&amp;$A$1&amp;"/"&amp;B$1,tabSuiviConso[Jour Mois Année],0),1)</f>
        <v>#N/A</v>
      </c>
      <c r="C33" s="59" t="e">
        <f>INDEX(tabSuiviConso[Max],MATCH(Tableau72[[#This Row],[Jour]]&amp;"/"&amp;$A$1&amp;"/"&amp;C$1,tabSuiviConso[Jour Mois Année],0),1)</f>
        <v>#N/A</v>
      </c>
      <c r="D33" s="59" t="e">
        <f>INDEX(tabSuiviConso[Conso HP + HC / jour_x000D_
Instantané],MATCH(Tableau72[[#This Row],[Jour]]&amp;"/"&amp;$A$1&amp;"/"&amp;D$1,tabSuiviConso[Jour Mois Année],0),1)</f>
        <v>#N/A</v>
      </c>
      <c r="E33" s="59" t="e">
        <f>INDEX(tabSuiviConso[Min],MATCH(Tableau72[[#This Row],[Jour]]&amp;"/"&amp;$A$1&amp;"/"&amp;E$1,tabSuiviConso[Jour Mois Année],0),1)</f>
        <v>#N/A</v>
      </c>
      <c r="F33" s="59" t="e">
        <f>INDEX(tabSuiviConso[Max],MATCH(Tableau72[[#This Row],[Jour]]&amp;"/"&amp;$A$1&amp;"/"&amp;F$1,tabSuiviConso[Jour Mois Année],0),1)</f>
        <v>#N/A</v>
      </c>
      <c r="G33" s="59" t="e">
        <f>INDEX(tabSuiviConso[Conso HP + HC / jour_x000D_
Instantané],MATCH(Tableau72[[#This Row],[Jour]]&amp;"/"&amp;$A$1&amp;"/"&amp;G$1,tabSuiviConso[Jour Mois Année],0),1)</f>
        <v>#N/A</v>
      </c>
      <c r="H33" s="59" t="e">
        <f>INDEX(tabSuiviConso[Min],MATCH(Tableau72[[#This Row],[Jour]]&amp;"/"&amp;$A$1&amp;"/"&amp;H$1,tabSuiviConso[Jour Mois Année],0),1)</f>
        <v>#N/A</v>
      </c>
      <c r="I33" s="59" t="e">
        <f>INDEX(tabSuiviConso[Max],MATCH(Tableau72[[#This Row],[Jour]]&amp;"/"&amp;$A$1&amp;"/"&amp;I$1,tabSuiviConso[Jour Mois Année],0),1)</f>
        <v>#N/A</v>
      </c>
      <c r="J33" s="59" t="e">
        <f>INDEX(tabSuiviConso[Conso HP + HC / jour_x000D_
Instantané],MATCH(Tableau72[[#This Row],[Jour]]&amp;"/"&amp;$A$1&amp;"/"&amp;J$1,tabSuiviConso[Jour Mois Année],0),1)</f>
        <v>#N/A</v>
      </c>
      <c r="K33" s="93" t="e">
        <f>Tableau72[[#This Row],[2024]]-Tableau72[[#This Row],[2023]]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4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3" width="17.28515625" style="19" bestFit="1" customWidth="1"/>
    <col min="4" max="4" width="17.42578125" style="19" bestFit="1" customWidth="1"/>
    <col min="5" max="5" width="17.42578125" style="19" customWidth="1"/>
    <col min="6" max="6" width="18.85546875" style="19" bestFit="1" customWidth="1"/>
    <col min="7" max="16384" width="11.42578125" style="19"/>
  </cols>
  <sheetData>
    <row r="1" spans="1:6" ht="22.5" x14ac:dyDescent="0.2">
      <c r="A1" s="19" t="s">
        <v>8</v>
      </c>
      <c r="B1" s="44" t="s">
        <v>107</v>
      </c>
      <c r="C1" s="44" t="s">
        <v>104</v>
      </c>
      <c r="D1" s="44" t="s">
        <v>105</v>
      </c>
      <c r="E1" s="44" t="s">
        <v>108</v>
      </c>
      <c r="F1" s="44" t="s">
        <v>106</v>
      </c>
    </row>
    <row r="2" spans="1:6" x14ac:dyDescent="0.2">
      <c r="A2" s="59">
        <v>1</v>
      </c>
      <c r="B2" s="62">
        <f t="array" ref="B2">MIN(IF(tabSuiviConso[Mois]=Tableau791012[[#This Row],[Mois]],tabSuiviConso[Min]))</f>
        <v>0</v>
      </c>
      <c r="C2" s="61" t="e">
        <f>AVERAGEIF(tabSuiviConso[Mois],Tableau791012[[#This Row],[Mois]],tabSuiviConso[Min])</f>
        <v>#DIV/0!</v>
      </c>
      <c r="D2" s="62" t="e">
        <f>AVERAGEIF(tabSuiviConso[Mois],Tableau791012[[#This Row],[Mois]],tabSuiviConso[Max])</f>
        <v>#DIV/0!</v>
      </c>
      <c r="E2" s="62">
        <f t="array" ref="E2">MAX(IF(tabSuiviConso[Mois]=Tableau791012[[#This Row],[Mois]],tabSuiviConso[Max]))</f>
        <v>0</v>
      </c>
      <c r="F2" s="61" t="e">
        <f>AVERAGEIF(tabSuiviConso[Mois],Tableau791012[[#This Row],[Mois]],tabSuiviConso[Conso HP + HC / jour_x000D_
Instantané])</f>
        <v>#DIV/0!</v>
      </c>
    </row>
    <row r="3" spans="1:6" x14ac:dyDescent="0.2">
      <c r="A3" s="59">
        <v>2</v>
      </c>
      <c r="B3" s="62">
        <f t="array" ref="B3">MIN(IF(tabSuiviConso[Mois]=Tableau791012[[#This Row],[Mois]],tabSuiviConso[Min]))</f>
        <v>0</v>
      </c>
      <c r="C3" s="61" t="e">
        <f>AVERAGEIF(tabSuiviConso[Mois],Tableau791012[[#This Row],[Mois]],tabSuiviConso[Min])</f>
        <v>#DIV/0!</v>
      </c>
      <c r="D3" s="62" t="e">
        <f>AVERAGEIF(tabSuiviConso[Mois],Tableau791012[[#This Row],[Mois]],tabSuiviConso[Max])</f>
        <v>#DIV/0!</v>
      </c>
      <c r="E3" s="62">
        <f t="array" ref="E3">MAX(IF(tabSuiviConso[Mois]=Tableau791012[[#This Row],[Mois]],tabSuiviConso[Max]))</f>
        <v>0</v>
      </c>
      <c r="F3" s="61" t="e">
        <f>AVERAGEIF(tabSuiviConso[Mois],Tableau791012[[#This Row],[Mois]],tabSuiviConso[Conso HP + HC / jour_x000D_
Instantané])</f>
        <v>#DIV/0!</v>
      </c>
    </row>
    <row r="4" spans="1:6" x14ac:dyDescent="0.2">
      <c r="A4" s="59">
        <v>3</v>
      </c>
      <c r="B4" s="62">
        <f t="array" ref="B4">MIN(IF(tabSuiviConso[Mois]=Tableau791012[[#This Row],[Mois]],tabSuiviConso[Min]))</f>
        <v>0</v>
      </c>
      <c r="C4" s="61" t="e">
        <f>AVERAGEIF(tabSuiviConso[Mois],Tableau791012[[#This Row],[Mois]],tabSuiviConso[Min])</f>
        <v>#DIV/0!</v>
      </c>
      <c r="D4" s="62" t="e">
        <f>AVERAGEIF(tabSuiviConso[Mois],Tableau791012[[#This Row],[Mois]],tabSuiviConso[Max])</f>
        <v>#DIV/0!</v>
      </c>
      <c r="E4" s="62">
        <f t="array" ref="E4">MAX(IF(tabSuiviConso[Mois]=Tableau791012[[#This Row],[Mois]],tabSuiviConso[Max]))</f>
        <v>0</v>
      </c>
      <c r="F4" s="61" t="e">
        <f>AVERAGEIF(tabSuiviConso[Mois],Tableau791012[[#This Row],[Mois]],tabSuiviConso[Conso HP + HC / jour_x000D_
Instantané])</f>
        <v>#DIV/0!</v>
      </c>
    </row>
    <row r="5" spans="1:6" x14ac:dyDescent="0.2">
      <c r="A5" s="59">
        <v>4</v>
      </c>
      <c r="B5" s="62">
        <f t="array" ref="B5">MIN(IF(tabSuiviConso[Mois]=Tableau791012[[#This Row],[Mois]],tabSuiviConso[Min]))</f>
        <v>0</v>
      </c>
      <c r="C5" s="61" t="e">
        <f>AVERAGEIF(tabSuiviConso[Mois],Tableau791012[[#This Row],[Mois]],tabSuiviConso[Min])</f>
        <v>#DIV/0!</v>
      </c>
      <c r="D5" s="62" t="e">
        <f>AVERAGEIF(tabSuiviConso[Mois],Tableau791012[[#This Row],[Mois]],tabSuiviConso[Max])</f>
        <v>#DIV/0!</v>
      </c>
      <c r="E5" s="62">
        <f t="array" ref="E5">MAX(IF(tabSuiviConso[Mois]=Tableau791012[[#This Row],[Mois]],tabSuiviConso[Max]))</f>
        <v>0</v>
      </c>
      <c r="F5" s="61" t="e">
        <f>AVERAGEIF(tabSuiviConso[Mois],Tableau791012[[#This Row],[Mois]],tabSuiviConso[Conso HP + HC / jour_x000D_
Instantané])</f>
        <v>#DIV/0!</v>
      </c>
    </row>
    <row r="6" spans="1:6" x14ac:dyDescent="0.2">
      <c r="A6" s="66">
        <v>5</v>
      </c>
      <c r="B6" s="62">
        <f t="array" ref="B6">MIN(IF(tabSuiviConso[Mois]=Tableau791012[[#This Row],[Mois]],tabSuiviConso[Min]))</f>
        <v>0</v>
      </c>
      <c r="C6" s="61" t="e">
        <f>AVERAGEIF(tabSuiviConso[Mois],Tableau791012[[#This Row],[Mois]],tabSuiviConso[Min])</f>
        <v>#DIV/0!</v>
      </c>
      <c r="D6" s="62" t="e">
        <f>AVERAGEIF(tabSuiviConso[Mois],Tableau791012[[#This Row],[Mois]],tabSuiviConso[Max])</f>
        <v>#DIV/0!</v>
      </c>
      <c r="E6" s="62">
        <f t="array" ref="E6">MAX(IF(tabSuiviConso[Mois]=Tableau791012[[#This Row],[Mois]],tabSuiviConso[Max]))</f>
        <v>0</v>
      </c>
      <c r="F6" s="61" t="e">
        <f>AVERAGEIF(tabSuiviConso[Mois],Tableau791012[[#This Row],[Mois]],tabSuiviConso[Conso HP + HC / jour_x000D_
Instantané])</f>
        <v>#DIV/0!</v>
      </c>
    </row>
    <row r="7" spans="1:6" x14ac:dyDescent="0.2">
      <c r="A7" s="66">
        <v>6</v>
      </c>
      <c r="B7" s="62">
        <f t="array" ref="B7">MIN(IF(tabSuiviConso[Mois]=Tableau791012[[#This Row],[Mois]],tabSuiviConso[Min]))</f>
        <v>0</v>
      </c>
      <c r="C7" s="61" t="e">
        <f>AVERAGEIF(tabSuiviConso[Mois],Tableau791012[[#This Row],[Mois]],tabSuiviConso[Min])</f>
        <v>#DIV/0!</v>
      </c>
      <c r="D7" s="62" t="e">
        <f>AVERAGEIF(tabSuiviConso[Mois],Tableau791012[[#This Row],[Mois]],tabSuiviConso[Max])</f>
        <v>#DIV/0!</v>
      </c>
      <c r="E7" s="62">
        <f t="array" ref="E7">MAX(IF(tabSuiviConso[Mois]=Tableau791012[[#This Row],[Mois]],tabSuiviConso[Max]))</f>
        <v>0</v>
      </c>
      <c r="F7" s="61" t="e">
        <f>AVERAGEIF(tabSuiviConso[Mois],Tableau791012[[#This Row],[Mois]],tabSuiviConso[Conso HP + HC / jour_x000D_
Instantané])</f>
        <v>#DIV/0!</v>
      </c>
    </row>
    <row r="8" spans="1:6" x14ac:dyDescent="0.2">
      <c r="A8" s="66">
        <v>7</v>
      </c>
      <c r="B8" s="62">
        <f t="array" ref="B8">MIN(IF(tabSuiviConso[Mois]=Tableau791012[[#This Row],[Mois]],tabSuiviConso[Min]))</f>
        <v>0</v>
      </c>
      <c r="C8" s="61" t="e">
        <f>AVERAGEIF(tabSuiviConso[Mois],Tableau791012[[#This Row],[Mois]],tabSuiviConso[Min])</f>
        <v>#DIV/0!</v>
      </c>
      <c r="D8" s="62" t="e">
        <f>AVERAGEIF(tabSuiviConso[Mois],Tableau791012[[#This Row],[Mois]],tabSuiviConso[Max])</f>
        <v>#DIV/0!</v>
      </c>
      <c r="E8" s="62">
        <f t="array" ref="E8">MAX(IF(tabSuiviConso[Mois]=Tableau791012[[#This Row],[Mois]],tabSuiviConso[Max]))</f>
        <v>0</v>
      </c>
      <c r="F8" s="61" t="e">
        <f>AVERAGEIF(tabSuiviConso[Mois],Tableau791012[[#This Row],[Mois]],tabSuiviConso[Conso HP + HC / jour_x000D_
Instantané])</f>
        <v>#DIV/0!</v>
      </c>
    </row>
    <row r="9" spans="1:6" x14ac:dyDescent="0.2">
      <c r="A9" s="66">
        <v>8</v>
      </c>
      <c r="B9" s="62">
        <f t="array" ref="B9">MIN(IF(tabSuiviConso[Mois]=Tableau791012[[#This Row],[Mois]],tabSuiviConso[Min]))</f>
        <v>0</v>
      </c>
      <c r="C9" s="61" t="e">
        <f>AVERAGEIF(tabSuiviConso[Mois],Tableau791012[[#This Row],[Mois]],tabSuiviConso[Min])</f>
        <v>#DIV/0!</v>
      </c>
      <c r="D9" s="62" t="e">
        <f>AVERAGEIF(tabSuiviConso[Mois],Tableau791012[[#This Row],[Mois]],tabSuiviConso[Max])</f>
        <v>#DIV/0!</v>
      </c>
      <c r="E9" s="62">
        <f t="array" ref="E9">MAX(IF(tabSuiviConso[Mois]=Tableau791012[[#This Row],[Mois]],tabSuiviConso[Max]))</f>
        <v>0</v>
      </c>
      <c r="F9" s="61" t="e">
        <f>AVERAGEIF(tabSuiviConso[Mois],Tableau791012[[#This Row],[Mois]],tabSuiviConso[Conso HP + HC / jour_x000D_
Instantané])</f>
        <v>#DIV/0!</v>
      </c>
    </row>
    <row r="10" spans="1:6" x14ac:dyDescent="0.2">
      <c r="A10" s="66">
        <v>9</v>
      </c>
      <c r="B10" s="62">
        <f t="array" ref="B10">MIN(IF(tabSuiviConso[Mois]=Tableau791012[[#This Row],[Mois]],tabSuiviConso[Min]))</f>
        <v>0</v>
      </c>
      <c r="C10" s="61" t="e">
        <f>AVERAGEIF(tabSuiviConso[Mois],Tableau791012[[#This Row],[Mois]],tabSuiviConso[Min])</f>
        <v>#DIV/0!</v>
      </c>
      <c r="D10" s="62" t="e">
        <f>AVERAGEIF(tabSuiviConso[Mois],Tableau791012[[#This Row],[Mois]],tabSuiviConso[Max])</f>
        <v>#DIV/0!</v>
      </c>
      <c r="E10" s="62">
        <f t="array" ref="E10">MAX(IF(tabSuiviConso[Mois]=Tableau791012[[#This Row],[Mois]],tabSuiviConso[Max]))</f>
        <v>0</v>
      </c>
      <c r="F10" s="61" t="e">
        <f>AVERAGEIF(tabSuiviConso[Mois],Tableau791012[[#This Row],[Mois]],tabSuiviConso[Conso HP + HC / jour_x000D_
Instantané])</f>
        <v>#DIV/0!</v>
      </c>
    </row>
    <row r="11" spans="1:6" x14ac:dyDescent="0.2">
      <c r="A11" s="66">
        <v>10</v>
      </c>
      <c r="B11" s="62">
        <f t="array" ref="B11">MIN(IF(tabSuiviConso[Mois]=Tableau791012[[#This Row],[Mois]],tabSuiviConso[Min]))</f>
        <v>0</v>
      </c>
      <c r="C11" s="61" t="e">
        <f>AVERAGEIF(tabSuiviConso[Mois],Tableau791012[[#This Row],[Mois]],tabSuiviConso[Min])</f>
        <v>#DIV/0!</v>
      </c>
      <c r="D11" s="62" t="e">
        <f>AVERAGEIF(tabSuiviConso[Mois],Tableau791012[[#This Row],[Mois]],tabSuiviConso[Max])</f>
        <v>#DIV/0!</v>
      </c>
      <c r="E11" s="62">
        <f t="array" ref="E11">MAX(IF(tabSuiviConso[Mois]=Tableau791012[[#This Row],[Mois]],tabSuiviConso[Max]))</f>
        <v>0</v>
      </c>
      <c r="F11" s="61" t="e">
        <f>AVERAGEIF(tabSuiviConso[Mois],Tableau791012[[#This Row],[Mois]],tabSuiviConso[Conso HP + HC / jour_x000D_
Instantané])</f>
        <v>#DIV/0!</v>
      </c>
    </row>
    <row r="12" spans="1:6" x14ac:dyDescent="0.2">
      <c r="A12" s="66">
        <v>11</v>
      </c>
      <c r="B12" s="62">
        <f t="array" ref="B12">MIN(IF(tabSuiviConso[Mois]=Tableau791012[[#This Row],[Mois]],tabSuiviConso[Min]))</f>
        <v>0</v>
      </c>
      <c r="C12" s="61" t="e">
        <f>AVERAGEIF(tabSuiviConso[Mois],Tableau791012[[#This Row],[Mois]],tabSuiviConso[Min])</f>
        <v>#DIV/0!</v>
      </c>
      <c r="D12" s="62" t="e">
        <f>AVERAGEIF(tabSuiviConso[Mois],Tableau791012[[#This Row],[Mois]],tabSuiviConso[Max])</f>
        <v>#DIV/0!</v>
      </c>
      <c r="E12" s="62">
        <f t="array" ref="E12">MAX(IF(tabSuiviConso[Mois]=Tableau791012[[#This Row],[Mois]],tabSuiviConso[Max]))</f>
        <v>0</v>
      </c>
      <c r="F12" s="61" t="e">
        <f>AVERAGEIF(tabSuiviConso[Mois],Tableau791012[[#This Row],[Mois]],tabSuiviConso[Conso HP + HC / jour_x000D_
Instantané])</f>
        <v>#DIV/0!</v>
      </c>
    </row>
    <row r="13" spans="1:6" x14ac:dyDescent="0.2">
      <c r="A13" s="66">
        <v>12</v>
      </c>
      <c r="B13" s="62">
        <f t="array" ref="B13">MIN(IF(tabSuiviConso[Mois]=Tableau791012[[#This Row],[Mois]],tabSuiviConso[Min]))</f>
        <v>-0.7</v>
      </c>
      <c r="C13" s="61">
        <f>AVERAGEIF(tabSuiviConso[Mois],Tableau791012[[#This Row],[Mois]],tabSuiviConso[Min])</f>
        <v>2.6583333333333337</v>
      </c>
      <c r="D13" s="62">
        <f>AVERAGEIF(tabSuiviConso[Mois],Tableau791012[[#This Row],[Mois]],tabSuiviConso[Max])</f>
        <v>8.9000000000000021</v>
      </c>
      <c r="E13" s="62">
        <f t="array" ref="E13">MAX(IF(tabSuiviConso[Mois]=Tableau791012[[#This Row],[Mois]],tabSuiviConso[Max]))</f>
        <v>13.9</v>
      </c>
      <c r="F13" s="61" t="e">
        <f>AVERAGEIF(tabSuiviConso[Mois],Tableau791012[[#This Row],[Mois]],tabSuiviConso[Conso HP + HC / jour_x000D_
Instantané])</f>
        <v>#VALUE!</v>
      </c>
    </row>
    <row r="18" spans="3:4" x14ac:dyDescent="0.2">
      <c r="C18" s="62"/>
    </row>
    <row r="19" spans="3:4" x14ac:dyDescent="0.2">
      <c r="C19" s="62"/>
    </row>
    <row r="20" spans="3:4" x14ac:dyDescent="0.2">
      <c r="C20" s="62"/>
    </row>
    <row r="21" spans="3:4" x14ac:dyDescent="0.2">
      <c r="C21" s="62"/>
    </row>
    <row r="22" spans="3:4" x14ac:dyDescent="0.2">
      <c r="C22" s="62"/>
    </row>
    <row r="23" spans="3:4" x14ac:dyDescent="0.2">
      <c r="C23" s="62"/>
      <c r="D23" s="62"/>
    </row>
    <row r="24" spans="3:4" x14ac:dyDescent="0.2">
      <c r="C24" s="62"/>
      <c r="D24" s="62"/>
    </row>
    <row r="25" spans="3:4" x14ac:dyDescent="0.2">
      <c r="C25" s="62"/>
      <c r="D25" s="62"/>
    </row>
    <row r="26" spans="3:4" x14ac:dyDescent="0.2">
      <c r="C26" s="62"/>
      <c r="D26" s="62"/>
    </row>
    <row r="27" spans="3:4" x14ac:dyDescent="0.2">
      <c r="C27" s="62"/>
      <c r="D27" s="62"/>
    </row>
    <row r="28" spans="3:4" x14ac:dyDescent="0.2">
      <c r="C28" s="62"/>
      <c r="D28" s="62"/>
    </row>
    <row r="29" spans="3:4" x14ac:dyDescent="0.2">
      <c r="C29" s="62"/>
      <c r="D29" s="62"/>
    </row>
    <row r="30" spans="3:4" x14ac:dyDescent="0.2">
      <c r="D30" s="62"/>
    </row>
    <row r="31" spans="3:4" x14ac:dyDescent="0.2">
      <c r="D31" s="62"/>
    </row>
    <row r="32" spans="3:4" x14ac:dyDescent="0.2">
      <c r="D32" s="62"/>
    </row>
    <row r="33" spans="4:4" x14ac:dyDescent="0.2">
      <c r="D33" s="62"/>
    </row>
    <row r="34" spans="4:4" x14ac:dyDescent="0.2">
      <c r="D34" s="62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5" width="9" style="19" bestFit="1" customWidth="1"/>
    <col min="6" max="16384" width="11.42578125" style="19"/>
  </cols>
  <sheetData>
    <row r="1" spans="1:5" x14ac:dyDescent="0.2">
      <c r="A1" s="19" t="s">
        <v>8</v>
      </c>
      <c r="B1" s="19" t="s">
        <v>75</v>
      </c>
      <c r="C1" s="19" t="s">
        <v>76</v>
      </c>
      <c r="D1" s="19" t="s">
        <v>77</v>
      </c>
      <c r="E1" s="19" t="s">
        <v>95</v>
      </c>
    </row>
    <row r="2" spans="1:5" x14ac:dyDescent="0.2">
      <c r="A2" s="19">
        <v>1</v>
      </c>
      <c r="B2" s="60" t="e">
        <f>AVERAGEIF(tabSuiviConso[Mois Année],Tableau79[[#This Row],[Mois]]&amp;"/"&amp;Tableau79[[#Headers],[2021]],tabSuiviConso[Conso HP + HC / jour_x000D_
Instantané])</f>
        <v>#DIV/0!</v>
      </c>
      <c r="C2" s="60" t="e">
        <f>AVERAGEIF(tabSuiviConso[Mois Année],Tableau79[[#This Row],[Mois]]&amp;"/"&amp;Tableau79[[#Headers],[2022]],tabSuiviConso[Conso HP + HC / jour_x000D_
Instantané])</f>
        <v>#DIV/0!</v>
      </c>
      <c r="D2" s="60" t="e">
        <f>AVERAGEIF(tabSuiviConso[Mois Année],Tableau79[[#This Row],[Mois]]&amp;"/"&amp;Tableau79[[#Headers],[2023]],tabSuiviConso[Conso HP + HC / jour_x000D_
Instantané])</f>
        <v>#DIV/0!</v>
      </c>
      <c r="E2" s="60" t="e">
        <f>AVERAGEIF(tabSuiviConso[Mois Année],Tableau79[[#This Row],[Mois]]&amp;"/"&amp;Tableau79[[#Headers],[2024]],tabSuiviConso[Conso HP + HC / jour_x000D_
Instantané])</f>
        <v>#DIV/0!</v>
      </c>
    </row>
    <row r="3" spans="1:5" x14ac:dyDescent="0.2">
      <c r="A3" s="19">
        <v>2</v>
      </c>
      <c r="B3" s="60" t="e">
        <f>AVERAGEIF(tabSuiviConso[Mois Année],Tableau79[[#This Row],[Mois]]&amp;"/"&amp;Tableau79[[#Headers],[2021]],tabSuiviConso[Conso HP + HC / jour_x000D_
Instantané])</f>
        <v>#DIV/0!</v>
      </c>
      <c r="C3" s="60" t="e">
        <f>AVERAGEIF(tabSuiviConso[Mois Année],Tableau79[[#This Row],[Mois]]&amp;"/"&amp;Tableau79[[#Headers],[2022]],tabSuiviConso[Conso HP + HC / jour_x000D_
Instantané])</f>
        <v>#DIV/0!</v>
      </c>
      <c r="D3" s="60" t="e">
        <f>AVERAGEIF(tabSuiviConso[Mois Année],Tableau79[[#This Row],[Mois]]&amp;"/"&amp;Tableau79[[#Headers],[2023]],tabSuiviConso[Conso HP + HC / jour_x000D_
Instantané])</f>
        <v>#DIV/0!</v>
      </c>
      <c r="E3" s="60" t="e">
        <f>AVERAGEIF(tabSuiviConso[Mois Année],Tableau79[[#This Row],[Mois]]&amp;"/"&amp;Tableau79[[#Headers],[2024]],tabSuiviConso[Conso HP + HC / jour_x000D_
Instantané])</f>
        <v>#DIV/0!</v>
      </c>
    </row>
    <row r="4" spans="1:5" x14ac:dyDescent="0.2">
      <c r="A4" s="19">
        <v>3</v>
      </c>
      <c r="B4" s="60" t="e">
        <f>AVERAGEIF(tabSuiviConso[Mois Année],Tableau79[[#This Row],[Mois]]&amp;"/"&amp;Tableau79[[#Headers],[2021]],tabSuiviConso[Conso HP + HC / jour_x000D_
Instantané])</f>
        <v>#DIV/0!</v>
      </c>
      <c r="C4" s="60" t="e">
        <f>AVERAGEIF(tabSuiviConso[Mois Année],Tableau79[[#This Row],[Mois]]&amp;"/"&amp;Tableau79[[#Headers],[2022]],tabSuiviConso[Conso HP + HC / jour_x000D_
Instantané])</f>
        <v>#DIV/0!</v>
      </c>
      <c r="D4" s="60" t="e">
        <f>AVERAGEIF(tabSuiviConso[Mois Année],Tableau79[[#This Row],[Mois]]&amp;"/"&amp;Tableau79[[#Headers],[2023]],tabSuiviConso[Conso HP + HC / jour_x000D_
Instantané])</f>
        <v>#DIV/0!</v>
      </c>
      <c r="E4" s="60" t="e">
        <f>AVERAGEIF(tabSuiviConso[Mois Année],Tableau79[[#This Row],[Mois]]&amp;"/"&amp;Tableau79[[#Headers],[2024]],tabSuiviConso[Conso HP + HC / jour_x000D_
Instantané])</f>
        <v>#DIV/0!</v>
      </c>
    </row>
    <row r="5" spans="1:5" x14ac:dyDescent="0.2">
      <c r="A5" s="19">
        <v>4</v>
      </c>
      <c r="B5" s="60" t="e">
        <f>AVERAGEIF(tabSuiviConso[Mois Année],Tableau79[[#This Row],[Mois]]&amp;"/"&amp;Tableau79[[#Headers],[2021]],tabSuiviConso[Conso HP + HC / jour_x000D_
Instantané])</f>
        <v>#DIV/0!</v>
      </c>
      <c r="C5" s="60" t="e">
        <f>AVERAGEIF(tabSuiviConso[Mois Année],Tableau79[[#This Row],[Mois]]&amp;"/"&amp;Tableau79[[#Headers],[2022]],tabSuiviConso[Conso HP + HC / jour_x000D_
Instantané])</f>
        <v>#DIV/0!</v>
      </c>
      <c r="D5" s="60" t="e">
        <f>AVERAGEIF(tabSuiviConso[Mois Année],Tableau79[[#This Row],[Mois]]&amp;"/"&amp;Tableau79[[#Headers],[2023]],tabSuiviConso[Conso HP + HC / jour_x000D_
Instantané])</f>
        <v>#DIV/0!</v>
      </c>
      <c r="E5" s="60" t="e">
        <f>AVERAGEIF(tabSuiviConso[Mois Année],Tableau79[[#This Row],[Mois]]&amp;"/"&amp;Tableau79[[#Headers],[2024]],tabSuiviConso[Conso HP + HC / jour_x000D_
Instantané])</f>
        <v>#DIV/0!</v>
      </c>
    </row>
    <row r="6" spans="1:5" x14ac:dyDescent="0.2">
      <c r="A6" s="19">
        <v>5</v>
      </c>
      <c r="B6" s="60" t="e">
        <f>AVERAGEIF(tabSuiviConso[Mois Année],Tableau79[[#This Row],[Mois]]&amp;"/"&amp;Tableau79[[#Headers],[2021]],tabSuiviConso[Conso HP + HC / jour_x000D_
Instantané])</f>
        <v>#DIV/0!</v>
      </c>
      <c r="C6" s="60" t="e">
        <f>AVERAGEIF(tabSuiviConso[Mois Année],Tableau79[[#This Row],[Mois]]&amp;"/"&amp;Tableau79[[#Headers],[2022]],tabSuiviConso[Conso HP + HC / jour_x000D_
Instantané])</f>
        <v>#DIV/0!</v>
      </c>
      <c r="D6" s="60" t="e">
        <f>AVERAGEIF(tabSuiviConso[Mois Année],Tableau79[[#This Row],[Mois]]&amp;"/"&amp;Tableau79[[#Headers],[2023]],tabSuiviConso[Conso HP + HC / jour_x000D_
Instantané])</f>
        <v>#DIV/0!</v>
      </c>
      <c r="E6" s="60" t="e">
        <f>AVERAGEIF(tabSuiviConso[Mois Année],Tableau79[[#This Row],[Mois]]&amp;"/"&amp;Tableau79[[#Headers],[2024]],tabSuiviConso[Conso HP + HC / jour_x000D_
Instantané])</f>
        <v>#DIV/0!</v>
      </c>
    </row>
    <row r="7" spans="1:5" x14ac:dyDescent="0.2">
      <c r="A7" s="19">
        <v>6</v>
      </c>
      <c r="B7" s="60" t="e">
        <f>AVERAGEIF(tabSuiviConso[Mois Année],Tableau79[[#This Row],[Mois]]&amp;"/"&amp;Tableau79[[#Headers],[2021]],tabSuiviConso[Conso HP + HC / jour_x000D_
Instantané])</f>
        <v>#DIV/0!</v>
      </c>
      <c r="C7" s="60" t="e">
        <f>AVERAGEIF(tabSuiviConso[Mois Année],Tableau79[[#This Row],[Mois]]&amp;"/"&amp;Tableau79[[#Headers],[2022]],tabSuiviConso[Conso HP + HC / jour_x000D_
Instantané])</f>
        <v>#DIV/0!</v>
      </c>
      <c r="D7" s="60" t="e">
        <f>AVERAGEIF(tabSuiviConso[Mois Année],Tableau79[[#This Row],[Mois]]&amp;"/"&amp;Tableau79[[#Headers],[2023]],tabSuiviConso[Conso HP + HC / jour_x000D_
Instantané])</f>
        <v>#DIV/0!</v>
      </c>
      <c r="E7" s="60" t="e">
        <f>AVERAGEIF(tabSuiviConso[Mois Année],Tableau79[[#This Row],[Mois]]&amp;"/"&amp;Tableau79[[#Headers],[2024]],tabSuiviConso[Conso HP + HC / jour_x000D_
Instantané])</f>
        <v>#DIV/0!</v>
      </c>
    </row>
    <row r="8" spans="1:5" x14ac:dyDescent="0.2">
      <c r="A8" s="19">
        <v>7</v>
      </c>
      <c r="B8" s="60" t="e">
        <f>AVERAGEIF(tabSuiviConso[Mois Année],Tableau79[[#This Row],[Mois]]&amp;"/"&amp;Tableau79[[#Headers],[2021]],tabSuiviConso[Conso HP + HC / jour_x000D_
Instantané])</f>
        <v>#DIV/0!</v>
      </c>
      <c r="C8" s="60" t="e">
        <f>AVERAGEIF(tabSuiviConso[Mois Année],Tableau79[[#This Row],[Mois]]&amp;"/"&amp;Tableau79[[#Headers],[2022]],tabSuiviConso[Conso HP + HC / jour_x000D_
Instantané])</f>
        <v>#DIV/0!</v>
      </c>
      <c r="D8" s="60" t="e">
        <f>AVERAGEIF(tabSuiviConso[Mois Année],Tableau79[[#This Row],[Mois]]&amp;"/"&amp;Tableau79[[#Headers],[2023]],tabSuiviConso[Conso HP + HC / jour_x000D_
Instantané])</f>
        <v>#DIV/0!</v>
      </c>
      <c r="E8" s="60" t="e">
        <f>AVERAGEIF(tabSuiviConso[Mois Année],Tableau79[[#This Row],[Mois]]&amp;"/"&amp;Tableau79[[#Headers],[2024]],tabSuiviConso[Conso HP + HC / jour_x000D_
Instantané])</f>
        <v>#DIV/0!</v>
      </c>
    </row>
    <row r="9" spans="1:5" x14ac:dyDescent="0.2">
      <c r="A9" s="19">
        <v>8</v>
      </c>
      <c r="B9" s="60" t="e">
        <f>AVERAGEIF(tabSuiviConso[Mois Année],Tableau79[[#This Row],[Mois]]&amp;"/"&amp;Tableau79[[#Headers],[2021]],tabSuiviConso[Conso HP + HC / jour_x000D_
Instantané])</f>
        <v>#DIV/0!</v>
      </c>
      <c r="C9" s="60" t="e">
        <f>AVERAGEIF(tabSuiviConso[Mois Année],Tableau79[[#This Row],[Mois]]&amp;"/"&amp;Tableau79[[#Headers],[2022]],tabSuiviConso[Conso HP + HC / jour_x000D_
Instantané])</f>
        <v>#DIV/0!</v>
      </c>
      <c r="D9" s="60" t="e">
        <f>AVERAGEIF(tabSuiviConso[Mois Année],Tableau79[[#This Row],[Mois]]&amp;"/"&amp;Tableau79[[#Headers],[2023]],tabSuiviConso[Conso HP + HC / jour_x000D_
Instantané])</f>
        <v>#DIV/0!</v>
      </c>
      <c r="E9" s="60" t="e">
        <f>AVERAGEIF(tabSuiviConso[Mois Année],Tableau79[[#This Row],[Mois]]&amp;"/"&amp;Tableau79[[#Headers],[2024]],tabSuiviConso[Conso HP + HC / jour_x000D_
Instantané])</f>
        <v>#DIV/0!</v>
      </c>
    </row>
    <row r="10" spans="1:5" x14ac:dyDescent="0.2">
      <c r="A10" s="19">
        <v>9</v>
      </c>
      <c r="B10" s="60" t="e">
        <f>AVERAGEIF(tabSuiviConso[Mois Année],Tableau79[[#This Row],[Mois]]&amp;"/"&amp;Tableau79[[#Headers],[2021]],tabSuiviConso[Conso HP + HC / jour_x000D_
Instantané])</f>
        <v>#DIV/0!</v>
      </c>
      <c r="C10" s="60" t="e">
        <f>AVERAGEIF(tabSuiviConso[Mois Année],Tableau79[[#This Row],[Mois]]&amp;"/"&amp;Tableau79[[#Headers],[2022]],tabSuiviConso[Conso HP + HC / jour_x000D_
Instantané])</f>
        <v>#DIV/0!</v>
      </c>
      <c r="D10" s="60" t="e">
        <f>AVERAGEIF(tabSuiviConso[Mois Année],Tableau79[[#This Row],[Mois]]&amp;"/"&amp;Tableau79[[#Headers],[2023]],tabSuiviConso[Conso HP + HC / jour_x000D_
Instantané])</f>
        <v>#DIV/0!</v>
      </c>
      <c r="E10" s="60" t="e">
        <f>AVERAGEIF(tabSuiviConso[Mois Année],Tableau79[[#This Row],[Mois]]&amp;"/"&amp;Tableau79[[#Headers],[2024]],tabSuiviConso[Conso HP + HC / jour_x000D_
Instantané])</f>
        <v>#DIV/0!</v>
      </c>
    </row>
    <row r="11" spans="1:5" x14ac:dyDescent="0.2">
      <c r="A11" s="19">
        <v>10</v>
      </c>
      <c r="B11" s="60" t="e">
        <f>AVERAGEIF(tabSuiviConso[Mois Année],Tableau79[[#This Row],[Mois]]&amp;"/"&amp;Tableau79[[#Headers],[2021]],tabSuiviConso[Conso HP + HC / jour_x000D_
Instantané])</f>
        <v>#DIV/0!</v>
      </c>
      <c r="C11" s="60" t="e">
        <f>AVERAGEIF(tabSuiviConso[Mois Année],Tableau79[[#This Row],[Mois]]&amp;"/"&amp;Tableau79[[#Headers],[2022]],tabSuiviConso[Conso HP + HC / jour_x000D_
Instantané])</f>
        <v>#DIV/0!</v>
      </c>
      <c r="D11" s="60" t="e">
        <f>AVERAGEIF(tabSuiviConso[Mois Année],Tableau79[[#This Row],[Mois]]&amp;"/"&amp;Tableau79[[#Headers],[2023]],tabSuiviConso[Conso HP + HC / jour_x000D_
Instantané])</f>
        <v>#DIV/0!</v>
      </c>
      <c r="E11" s="60" t="e">
        <f>AVERAGEIF(tabSuiviConso[Mois Année],Tableau79[[#This Row],[Mois]]&amp;"/"&amp;Tableau79[[#Headers],[2024]],tabSuiviConso[Conso HP + HC / jour_x000D_
Instantané])</f>
        <v>#DIV/0!</v>
      </c>
    </row>
    <row r="12" spans="1:5" x14ac:dyDescent="0.2">
      <c r="A12" s="19">
        <v>11</v>
      </c>
      <c r="B12" s="60" t="e">
        <f>AVERAGEIF(tabSuiviConso[Mois Année],Tableau79[[#This Row],[Mois]]&amp;"/"&amp;Tableau79[[#Headers],[2021]],tabSuiviConso[Conso HP + HC / jour_x000D_
Instantané])</f>
        <v>#DIV/0!</v>
      </c>
      <c r="C12" s="60" t="e">
        <f>AVERAGEIF(tabSuiviConso[Mois Année],Tableau79[[#This Row],[Mois]]&amp;"/"&amp;Tableau79[[#Headers],[2022]],tabSuiviConso[Conso HP + HC / jour_x000D_
Instantané])</f>
        <v>#DIV/0!</v>
      </c>
      <c r="D12" s="60" t="e">
        <f>AVERAGEIF(tabSuiviConso[Mois Année],Tableau79[[#This Row],[Mois]]&amp;"/"&amp;Tableau79[[#Headers],[2023]],tabSuiviConso[Conso HP + HC / jour_x000D_
Instantané])</f>
        <v>#DIV/0!</v>
      </c>
      <c r="E12" s="60" t="e">
        <f>AVERAGEIF(tabSuiviConso[Mois Année],Tableau79[[#This Row],[Mois]]&amp;"/"&amp;Tableau79[[#Headers],[2024]],tabSuiviConso[Conso HP + HC / jour_x000D_
Instantané])</f>
        <v>#DIV/0!</v>
      </c>
    </row>
    <row r="13" spans="1:5" x14ac:dyDescent="0.2">
      <c r="A13" s="19">
        <v>12</v>
      </c>
      <c r="B13" s="60" t="e">
        <f>AVERAGEIF(tabSuiviConso[Mois Année],Tableau79[[#This Row],[Mois]]&amp;"/"&amp;Tableau79[[#Headers],[2021]],tabSuiviConso[Conso HP + HC / jour_x000D_
Instantané])</f>
        <v>#DIV/0!</v>
      </c>
      <c r="C13" s="60" t="e">
        <f>AVERAGEIF(tabSuiviConso[Mois Année],Tableau79[[#This Row],[Mois]]&amp;"/"&amp;Tableau79[[#Headers],[2022]],tabSuiviConso[Conso HP + HC / jour_x000D_
Instantané])</f>
        <v>#DIV/0!</v>
      </c>
      <c r="D13" s="60" t="e">
        <f>AVERAGEIF(tabSuiviConso[Mois Année],Tableau79[[#This Row],[Mois]]&amp;"/"&amp;Tableau79[[#Headers],[2023]],tabSuiviConso[Conso HP + HC / jour_x000D_
Instantané])</f>
        <v>#DIV/0!</v>
      </c>
      <c r="E13" s="60" t="e">
        <f>AVERAGEIF(tabSuiviConso[Mois Année],Tableau79[[#This Row],[Mois]]&amp;"/"&amp;Tableau79[[#Headers],[2024]],tabSuiviConso[Conso HP + HC / jour_x000D_
Instantané])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5" width="9" style="19" bestFit="1" customWidth="1"/>
    <col min="6" max="16384" width="11.42578125" style="19"/>
  </cols>
  <sheetData>
    <row r="1" spans="1:5" x14ac:dyDescent="0.2">
      <c r="A1" s="19" t="s">
        <v>8</v>
      </c>
      <c r="B1" s="19" t="s">
        <v>75</v>
      </c>
      <c r="C1" s="19" t="s">
        <v>76</v>
      </c>
      <c r="D1" s="19" t="s">
        <v>77</v>
      </c>
      <c r="E1" s="19" t="s">
        <v>95</v>
      </c>
    </row>
    <row r="2" spans="1:5" x14ac:dyDescent="0.2">
      <c r="A2" s="19">
        <v>1</v>
      </c>
      <c r="B2" s="60">
        <f>SUMIF(tabSuiviConso[Mois Année],Tableau791314[[#This Row],[Mois]]&amp;"/"&amp;Tableau791314[[#Headers],[2021]],tabSuiviConso[HP + HC
instantanné])</f>
        <v>0</v>
      </c>
      <c r="C2" s="60">
        <f>SUMIF(tabSuiviConso[Mois Année],Tableau791314[[#This Row],[Mois]]&amp;"/"&amp;Tableau791314[[#Headers],[2022]],tabSuiviConso[HP + HC
instantanné])</f>
        <v>0</v>
      </c>
      <c r="D2" s="60">
        <f>SUMIF(tabSuiviConso[Mois Année],Tableau791314[[#This Row],[Mois]]&amp;"/"&amp;Tableau791314[[#Headers],[2023]],tabSuiviConso[HP + HC
instantanné])</f>
        <v>0</v>
      </c>
      <c r="E2" s="60">
        <f>SUMIF(tabSuiviConso[Mois Année],Tableau791314[[#This Row],[Mois]]&amp;"/"&amp;Tableau791314[[#Headers],[2024]],tabSuiviConso[HP + HC
instantanné])</f>
        <v>0</v>
      </c>
    </row>
    <row r="3" spans="1:5" x14ac:dyDescent="0.2">
      <c r="A3" s="19">
        <v>2</v>
      </c>
      <c r="B3" s="60">
        <f>SUMIF(tabSuiviConso[Mois Année],Tableau791314[[#This Row],[Mois]]&amp;"/"&amp;Tableau791314[[#Headers],[2021]],tabSuiviConso[HP + HC
instantanné])</f>
        <v>0</v>
      </c>
      <c r="C3" s="60">
        <f>SUMIF(tabSuiviConso[Mois Année],Tableau791314[[#This Row],[Mois]]&amp;"/"&amp;Tableau791314[[#Headers],[2022]],tabSuiviConso[HP + HC
instantanné])</f>
        <v>0</v>
      </c>
      <c r="D3" s="60">
        <f>SUMIF(tabSuiviConso[Mois Année],Tableau791314[[#This Row],[Mois]]&amp;"/"&amp;Tableau791314[[#Headers],[2023]],tabSuiviConso[HP + HC
instantanné])</f>
        <v>0</v>
      </c>
      <c r="E3" s="60">
        <f>SUMIF(tabSuiviConso[Mois Année],Tableau791314[[#This Row],[Mois]]&amp;"/"&amp;Tableau791314[[#Headers],[2024]],tabSuiviConso[HP + HC
instantanné])</f>
        <v>0</v>
      </c>
    </row>
    <row r="4" spans="1:5" x14ac:dyDescent="0.2">
      <c r="A4" s="19">
        <v>3</v>
      </c>
      <c r="B4" s="60">
        <f>SUMIF(tabSuiviConso[Mois Année],Tableau791314[[#This Row],[Mois]]&amp;"/"&amp;Tableau791314[[#Headers],[2021]],tabSuiviConso[HP + HC
instantanné])</f>
        <v>0</v>
      </c>
      <c r="C4" s="60">
        <f>SUMIF(tabSuiviConso[Mois Année],Tableau791314[[#This Row],[Mois]]&amp;"/"&amp;Tableau791314[[#Headers],[2022]],tabSuiviConso[HP + HC
instantanné])</f>
        <v>0</v>
      </c>
      <c r="D4" s="60">
        <f>SUMIF(tabSuiviConso[Mois Année],Tableau791314[[#This Row],[Mois]]&amp;"/"&amp;Tableau791314[[#Headers],[2023]],tabSuiviConso[HP + HC
instantanné])</f>
        <v>0</v>
      </c>
      <c r="E4" s="60">
        <f>SUMIF(tabSuiviConso[Mois Année],Tableau791314[[#This Row],[Mois]]&amp;"/"&amp;Tableau791314[[#Headers],[2024]],tabSuiviConso[HP + HC
instantanné])</f>
        <v>0</v>
      </c>
    </row>
    <row r="5" spans="1:5" x14ac:dyDescent="0.2">
      <c r="A5" s="19">
        <v>4</v>
      </c>
      <c r="B5" s="60">
        <f>SUMIF(tabSuiviConso[Mois Année],Tableau791314[[#This Row],[Mois]]&amp;"/"&amp;Tableau791314[[#Headers],[2021]],tabSuiviConso[HP + HC
instantanné])</f>
        <v>0</v>
      </c>
      <c r="C5" s="60">
        <f>SUMIF(tabSuiviConso[Mois Année],Tableau791314[[#This Row],[Mois]]&amp;"/"&amp;Tableau791314[[#Headers],[2022]],tabSuiviConso[HP + HC
instantanné])</f>
        <v>0</v>
      </c>
      <c r="D5" s="60">
        <f>SUMIF(tabSuiviConso[Mois Année],Tableau791314[[#This Row],[Mois]]&amp;"/"&amp;Tableau791314[[#Headers],[2023]],tabSuiviConso[HP + HC
instantanné])</f>
        <v>0</v>
      </c>
      <c r="E5" s="60">
        <f>SUMIF(tabSuiviConso[Mois Année],Tableau791314[[#This Row],[Mois]]&amp;"/"&amp;Tableau791314[[#Headers],[2024]],tabSuiviConso[HP + HC
instantanné])</f>
        <v>0</v>
      </c>
    </row>
    <row r="6" spans="1:5" x14ac:dyDescent="0.2">
      <c r="A6" s="19">
        <v>5</v>
      </c>
      <c r="B6" s="60">
        <f>SUMIF(tabSuiviConso[Mois Année],Tableau791314[[#This Row],[Mois]]&amp;"/"&amp;Tableau791314[[#Headers],[2021]],tabSuiviConso[HP + HC
instantanné])</f>
        <v>0</v>
      </c>
      <c r="C6" s="60">
        <f>SUMIF(tabSuiviConso[Mois Année],Tableau791314[[#This Row],[Mois]]&amp;"/"&amp;Tableau791314[[#Headers],[2022]],tabSuiviConso[HP + HC
instantanné])</f>
        <v>0</v>
      </c>
      <c r="D6" s="60">
        <f>SUMIF(tabSuiviConso[Mois Année],Tableau791314[[#This Row],[Mois]]&amp;"/"&amp;Tableau791314[[#Headers],[2023]],tabSuiviConso[HP + HC
instantanné])</f>
        <v>0</v>
      </c>
      <c r="E6" s="60">
        <f>SUMIF(tabSuiviConso[Mois Année],Tableau791314[[#This Row],[Mois]]&amp;"/"&amp;Tableau791314[[#Headers],[2024]],tabSuiviConso[HP + HC
instantanné])</f>
        <v>0</v>
      </c>
    </row>
    <row r="7" spans="1:5" x14ac:dyDescent="0.2">
      <c r="A7" s="19">
        <v>6</v>
      </c>
      <c r="B7" s="60">
        <f>SUMIF(tabSuiviConso[Mois Année],Tableau791314[[#This Row],[Mois]]&amp;"/"&amp;Tableau791314[[#Headers],[2021]],tabSuiviConso[HP + HC
instantanné])</f>
        <v>0</v>
      </c>
      <c r="C7" s="60">
        <f>SUMIF(tabSuiviConso[Mois Année],Tableau791314[[#This Row],[Mois]]&amp;"/"&amp;Tableau791314[[#Headers],[2022]],tabSuiviConso[HP + HC
instantanné])</f>
        <v>0</v>
      </c>
      <c r="D7" s="60">
        <f>SUMIF(tabSuiviConso[Mois Année],Tableau791314[[#This Row],[Mois]]&amp;"/"&amp;Tableau791314[[#Headers],[2023]],tabSuiviConso[HP + HC
instantanné])</f>
        <v>0</v>
      </c>
      <c r="E7" s="60">
        <f>SUMIF(tabSuiviConso[Mois Année],Tableau791314[[#This Row],[Mois]]&amp;"/"&amp;Tableau791314[[#Headers],[2024]],tabSuiviConso[HP + HC
instantanné])</f>
        <v>0</v>
      </c>
    </row>
    <row r="8" spans="1:5" x14ac:dyDescent="0.2">
      <c r="A8" s="19">
        <v>7</v>
      </c>
      <c r="B8" s="60">
        <f>SUMIF(tabSuiviConso[Mois Année],Tableau791314[[#This Row],[Mois]]&amp;"/"&amp;Tableau791314[[#Headers],[2021]],tabSuiviConso[HP + HC
instantanné])</f>
        <v>0</v>
      </c>
      <c r="C8" s="60">
        <f>SUMIF(tabSuiviConso[Mois Année],Tableau791314[[#This Row],[Mois]]&amp;"/"&amp;Tableau791314[[#Headers],[2022]],tabSuiviConso[HP + HC
instantanné])</f>
        <v>0</v>
      </c>
      <c r="D8" s="60">
        <f>SUMIF(tabSuiviConso[Mois Année],Tableau791314[[#This Row],[Mois]]&amp;"/"&amp;Tableau791314[[#Headers],[2023]],tabSuiviConso[HP + HC
instantanné])</f>
        <v>0</v>
      </c>
      <c r="E8" s="60">
        <f>SUMIF(tabSuiviConso[Mois Année],Tableau791314[[#This Row],[Mois]]&amp;"/"&amp;Tableau791314[[#Headers],[2024]],tabSuiviConso[HP + HC
instantanné])</f>
        <v>0</v>
      </c>
    </row>
    <row r="9" spans="1:5" x14ac:dyDescent="0.2">
      <c r="A9" s="19">
        <v>8</v>
      </c>
      <c r="B9" s="60">
        <f>SUMIF(tabSuiviConso[Mois Année],Tableau791314[[#This Row],[Mois]]&amp;"/"&amp;Tableau791314[[#Headers],[2021]],tabSuiviConso[HP + HC
instantanné])</f>
        <v>0</v>
      </c>
      <c r="C9" s="60">
        <f>SUMIF(tabSuiviConso[Mois Année],Tableau791314[[#This Row],[Mois]]&amp;"/"&amp;Tableau791314[[#Headers],[2022]],tabSuiviConso[HP + HC
instantanné])</f>
        <v>0</v>
      </c>
      <c r="D9" s="60">
        <f>SUMIF(tabSuiviConso[Mois Année],Tableau791314[[#This Row],[Mois]]&amp;"/"&amp;Tableau791314[[#Headers],[2023]],tabSuiviConso[HP + HC
instantanné])</f>
        <v>0</v>
      </c>
      <c r="E9" s="60">
        <f>SUMIF(tabSuiviConso[Mois Année],Tableau791314[[#This Row],[Mois]]&amp;"/"&amp;Tableau791314[[#Headers],[2024]],tabSuiviConso[HP + HC
instantanné])</f>
        <v>0</v>
      </c>
    </row>
    <row r="10" spans="1:5" x14ac:dyDescent="0.2">
      <c r="A10" s="19">
        <v>9</v>
      </c>
      <c r="B10" s="60">
        <f>SUMIF(tabSuiviConso[Mois Année],Tableau791314[[#This Row],[Mois]]&amp;"/"&amp;Tableau791314[[#Headers],[2021]],tabSuiviConso[HP + HC
instantanné])</f>
        <v>0</v>
      </c>
      <c r="C10" s="60">
        <f>SUMIF(tabSuiviConso[Mois Année],Tableau791314[[#This Row],[Mois]]&amp;"/"&amp;Tableau791314[[#Headers],[2022]],tabSuiviConso[HP + HC
instantanné])</f>
        <v>0</v>
      </c>
      <c r="D10" s="60">
        <f>SUMIF(tabSuiviConso[Mois Année],Tableau791314[[#This Row],[Mois]]&amp;"/"&amp;Tableau791314[[#Headers],[2023]],tabSuiviConso[HP + HC
instantanné])</f>
        <v>0</v>
      </c>
      <c r="E10" s="60">
        <f>SUMIF(tabSuiviConso[Mois Année],Tableau791314[[#This Row],[Mois]]&amp;"/"&amp;Tableau791314[[#Headers],[2024]],tabSuiviConso[HP + HC
instantanné])</f>
        <v>0</v>
      </c>
    </row>
    <row r="11" spans="1:5" x14ac:dyDescent="0.2">
      <c r="A11" s="19">
        <v>10</v>
      </c>
      <c r="B11" s="60">
        <f>SUMIF(tabSuiviConso[Mois Année],Tableau791314[[#This Row],[Mois]]&amp;"/"&amp;Tableau791314[[#Headers],[2021]],tabSuiviConso[HP + HC
instantanné])</f>
        <v>0</v>
      </c>
      <c r="C11" s="60">
        <f>SUMIF(tabSuiviConso[Mois Année],Tableau791314[[#This Row],[Mois]]&amp;"/"&amp;Tableau791314[[#Headers],[2022]],tabSuiviConso[HP + HC
instantanné])</f>
        <v>0</v>
      </c>
      <c r="D11" s="60">
        <f>SUMIF(tabSuiviConso[Mois Année],Tableau791314[[#This Row],[Mois]]&amp;"/"&amp;Tableau791314[[#Headers],[2023]],tabSuiviConso[HP + HC
instantanné])</f>
        <v>0</v>
      </c>
      <c r="E11" s="60">
        <f>SUMIF(tabSuiviConso[Mois Année],Tableau791314[[#This Row],[Mois]]&amp;"/"&amp;Tableau791314[[#Headers],[2024]],tabSuiviConso[HP + HC
instantanné])</f>
        <v>0</v>
      </c>
    </row>
    <row r="12" spans="1:5" x14ac:dyDescent="0.2">
      <c r="A12" s="19">
        <v>11</v>
      </c>
      <c r="B12" s="60">
        <f>SUMIF(tabSuiviConso[Mois Année],Tableau791314[[#This Row],[Mois]]&amp;"/"&amp;Tableau791314[[#Headers],[2021]],tabSuiviConso[HP + HC
instantanné])</f>
        <v>0</v>
      </c>
      <c r="C12" s="60">
        <f>SUMIF(tabSuiviConso[Mois Année],Tableau791314[[#This Row],[Mois]]&amp;"/"&amp;Tableau791314[[#Headers],[2022]],tabSuiviConso[HP + HC
instantanné])</f>
        <v>0</v>
      </c>
      <c r="D12" s="60">
        <f>SUMIF(tabSuiviConso[Mois Année],Tableau791314[[#This Row],[Mois]]&amp;"/"&amp;Tableau791314[[#Headers],[2023]],tabSuiviConso[HP + HC
instantanné])</f>
        <v>0</v>
      </c>
      <c r="E12" s="60">
        <f>SUMIF(tabSuiviConso[Mois Année],Tableau791314[[#This Row],[Mois]]&amp;"/"&amp;Tableau791314[[#Headers],[2024]],tabSuiviConso[HP + HC
instantanné])</f>
        <v>0</v>
      </c>
    </row>
    <row r="13" spans="1:5" x14ac:dyDescent="0.2">
      <c r="A13" s="19">
        <v>12</v>
      </c>
      <c r="B13" s="60">
        <f>SUMIF(tabSuiviConso[Mois Année],Tableau791314[[#This Row],[Mois]]&amp;"/"&amp;Tableau791314[[#Headers],[2021]],tabSuiviConso[HP + HC
instantanné])</f>
        <v>0</v>
      </c>
      <c r="C13" s="60">
        <f>SUMIF(tabSuiviConso[Mois Année],Tableau791314[[#This Row],[Mois]]&amp;"/"&amp;Tableau791314[[#Headers],[2022]],tabSuiviConso[HP + HC
instantanné])</f>
        <v>0</v>
      </c>
      <c r="D13" s="60">
        <f>SUMIF(tabSuiviConso[Mois Année],Tableau791314[[#This Row],[Mois]]&amp;"/"&amp;Tableau791314[[#Headers],[2023]],tabSuiviConso[HP + HC
instantanné])</f>
        <v>0</v>
      </c>
      <c r="E13" s="60" t="e">
        <f>SUMIF(tabSuiviConso[Mois Année],Tableau791314[[#This Row],[Mois]]&amp;"/"&amp;Tableau791314[[#Headers],[2024]],tabSuiviConso[HP + HC
instantanné])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5" width="9" style="19" bestFit="1" customWidth="1"/>
    <col min="6" max="16384" width="11.42578125" style="19"/>
  </cols>
  <sheetData>
    <row r="1" spans="1:5" x14ac:dyDescent="0.2">
      <c r="A1" s="19" t="s">
        <v>8</v>
      </c>
      <c r="B1" s="19" t="s">
        <v>75</v>
      </c>
      <c r="C1" s="19" t="s">
        <v>76</v>
      </c>
      <c r="D1" s="19" t="s">
        <v>77</v>
      </c>
      <c r="E1" s="19" t="s">
        <v>95</v>
      </c>
    </row>
    <row r="2" spans="1:5" x14ac:dyDescent="0.2">
      <c r="A2" s="19">
        <v>1</v>
      </c>
      <c r="B2" s="60">
        <f>SUMIF(tabSuiviConso[Mois Année],Tableau7913[[#This Row],[Mois]]&amp;"/"&amp;Tableau7913[[#Headers],[2021]],tabSuiviConso[Conso HP + HC / jour_x000D_
Instantané])</f>
        <v>0</v>
      </c>
      <c r="C2" s="60">
        <f>SUMIF(tabSuiviConso[Mois Année],Tableau7913[[#This Row],[Mois]]&amp;"/"&amp;Tableau7913[[#Headers],[2022]],tabSuiviConso[Conso HP + HC / jour_x000D_
Instantané])</f>
        <v>0</v>
      </c>
      <c r="D2" s="60">
        <f>SUMIF(tabSuiviConso[Mois Année],Tableau7913[[#This Row],[Mois]]&amp;"/"&amp;Tableau7913[[#Headers],[2023]],tabSuiviConso[Conso HP + HC / jour_x000D_
Instantané])</f>
        <v>0</v>
      </c>
      <c r="E2" s="60">
        <f>SUMIF(tabSuiviConso[Mois Année],Tableau7913[[#This Row],[Mois]]&amp;"/"&amp;Tableau7913[[#Headers],[2024]],tabSuiviConso[Conso HP + HC / jour_x000D_
Instantané])</f>
        <v>0</v>
      </c>
    </row>
    <row r="3" spans="1:5" x14ac:dyDescent="0.2">
      <c r="A3" s="19">
        <v>2</v>
      </c>
      <c r="B3" s="60">
        <f>SUMIF(tabSuiviConso[Mois Année],Tableau7913[[#This Row],[Mois]]&amp;"/"&amp;Tableau7913[[#Headers],[2021]],tabSuiviConso[Conso HP + HC / jour_x000D_
Instantané])</f>
        <v>0</v>
      </c>
      <c r="C3" s="60">
        <f>SUMIF(tabSuiviConso[Mois Année],Tableau7913[[#This Row],[Mois]]&amp;"/"&amp;Tableau7913[[#Headers],[2022]],tabSuiviConso[Conso HP + HC / jour_x000D_
Instantané])</f>
        <v>0</v>
      </c>
      <c r="D3" s="60">
        <f>SUMIF(tabSuiviConso[Mois Année],Tableau7913[[#This Row],[Mois]]&amp;"/"&amp;Tableau7913[[#Headers],[2023]],tabSuiviConso[Conso HP + HC / jour_x000D_
Instantané])</f>
        <v>0</v>
      </c>
      <c r="E3" s="60">
        <f>SUMIF(tabSuiviConso[Mois Année],Tableau7913[[#This Row],[Mois]]&amp;"/"&amp;Tableau7913[[#Headers],[2024]],tabSuiviConso[Conso HP + HC / jour_x000D_
Instantané])</f>
        <v>0</v>
      </c>
    </row>
    <row r="4" spans="1:5" x14ac:dyDescent="0.2">
      <c r="A4" s="19">
        <v>3</v>
      </c>
      <c r="B4" s="60">
        <f>SUMIF(tabSuiviConso[Mois Année],Tableau7913[[#This Row],[Mois]]&amp;"/"&amp;Tableau7913[[#Headers],[2021]],tabSuiviConso[Conso HP + HC / jour_x000D_
Instantané])</f>
        <v>0</v>
      </c>
      <c r="C4" s="60">
        <f>SUMIF(tabSuiviConso[Mois Année],Tableau7913[[#This Row],[Mois]]&amp;"/"&amp;Tableau7913[[#Headers],[2022]],tabSuiviConso[Conso HP + HC / jour_x000D_
Instantané])</f>
        <v>0</v>
      </c>
      <c r="D4" s="60">
        <f>SUMIF(tabSuiviConso[Mois Année],Tableau7913[[#This Row],[Mois]]&amp;"/"&amp;Tableau7913[[#Headers],[2023]],tabSuiviConso[Conso HP + HC / jour_x000D_
Instantané])</f>
        <v>0</v>
      </c>
      <c r="E4" s="60">
        <f>SUMIF(tabSuiviConso[Mois Année],Tableau7913[[#This Row],[Mois]]&amp;"/"&amp;Tableau7913[[#Headers],[2024]],tabSuiviConso[Conso HP + HC / jour_x000D_
Instantané])</f>
        <v>0</v>
      </c>
    </row>
    <row r="5" spans="1:5" x14ac:dyDescent="0.2">
      <c r="A5" s="19">
        <v>4</v>
      </c>
      <c r="B5" s="60">
        <f>SUMIF(tabSuiviConso[Mois Année],Tableau7913[[#This Row],[Mois]]&amp;"/"&amp;Tableau7913[[#Headers],[2021]],tabSuiviConso[Conso HP + HC / jour_x000D_
Instantané])</f>
        <v>0</v>
      </c>
      <c r="C5" s="60">
        <f>SUMIF(tabSuiviConso[Mois Année],Tableau7913[[#This Row],[Mois]]&amp;"/"&amp;Tableau7913[[#Headers],[2022]],tabSuiviConso[Conso HP + HC / jour_x000D_
Instantané])</f>
        <v>0</v>
      </c>
      <c r="D5" s="60">
        <f>SUMIF(tabSuiviConso[Mois Année],Tableau7913[[#This Row],[Mois]]&amp;"/"&amp;Tableau7913[[#Headers],[2023]],tabSuiviConso[Conso HP + HC / jour_x000D_
Instantané])</f>
        <v>0</v>
      </c>
      <c r="E5" s="60">
        <f>SUMIF(tabSuiviConso[Mois Année],Tableau7913[[#This Row],[Mois]]&amp;"/"&amp;Tableau7913[[#Headers],[2024]],tabSuiviConso[Conso HP + HC / jour_x000D_
Instantané])</f>
        <v>0</v>
      </c>
    </row>
    <row r="6" spans="1:5" x14ac:dyDescent="0.2">
      <c r="A6" s="19">
        <v>5</v>
      </c>
      <c r="B6" s="60">
        <f>SUMIF(tabSuiviConso[Mois Année],Tableau7913[[#This Row],[Mois]]&amp;"/"&amp;Tableau7913[[#Headers],[2021]],tabSuiviConso[Conso HP + HC / jour_x000D_
Instantané])</f>
        <v>0</v>
      </c>
      <c r="C6" s="60">
        <f>SUMIF(tabSuiviConso[Mois Année],Tableau7913[[#This Row],[Mois]]&amp;"/"&amp;Tableau7913[[#Headers],[2022]],tabSuiviConso[Conso HP + HC / jour_x000D_
Instantané])</f>
        <v>0</v>
      </c>
      <c r="D6" s="60">
        <f>SUMIF(tabSuiviConso[Mois Année],Tableau7913[[#This Row],[Mois]]&amp;"/"&amp;Tableau7913[[#Headers],[2023]],tabSuiviConso[Conso HP + HC / jour_x000D_
Instantané])</f>
        <v>0</v>
      </c>
      <c r="E6" s="60">
        <f>SUMIF(tabSuiviConso[Mois Année],Tableau7913[[#This Row],[Mois]]&amp;"/"&amp;Tableau7913[[#Headers],[2024]],tabSuiviConso[Conso HP + HC / jour_x000D_
Instantané])</f>
        <v>0</v>
      </c>
    </row>
    <row r="7" spans="1:5" x14ac:dyDescent="0.2">
      <c r="A7" s="19">
        <v>6</v>
      </c>
      <c r="B7" s="60">
        <f>SUMIF(tabSuiviConso[Mois Année],Tableau7913[[#This Row],[Mois]]&amp;"/"&amp;Tableau7913[[#Headers],[2021]],tabSuiviConso[Conso HP + HC / jour_x000D_
Instantané])</f>
        <v>0</v>
      </c>
      <c r="C7" s="60">
        <f>SUMIF(tabSuiviConso[Mois Année],Tableau7913[[#This Row],[Mois]]&amp;"/"&amp;Tableau7913[[#Headers],[2022]],tabSuiviConso[Conso HP + HC / jour_x000D_
Instantané])</f>
        <v>0</v>
      </c>
      <c r="D7" s="60">
        <f>SUMIF(tabSuiviConso[Mois Année],Tableau7913[[#This Row],[Mois]]&amp;"/"&amp;Tableau7913[[#Headers],[2023]],tabSuiviConso[Conso HP + HC / jour_x000D_
Instantané])</f>
        <v>0</v>
      </c>
      <c r="E7" s="60">
        <f>SUMIF(tabSuiviConso[Mois Année],Tableau7913[[#This Row],[Mois]]&amp;"/"&amp;Tableau7913[[#Headers],[2024]],tabSuiviConso[Conso HP + HC / jour_x000D_
Instantané])</f>
        <v>0</v>
      </c>
    </row>
    <row r="8" spans="1:5" x14ac:dyDescent="0.2">
      <c r="A8" s="19">
        <v>7</v>
      </c>
      <c r="B8" s="60">
        <f>SUMIF(tabSuiviConso[Mois Année],Tableau7913[[#This Row],[Mois]]&amp;"/"&amp;Tableau7913[[#Headers],[2021]],tabSuiviConso[Conso HP + HC / jour_x000D_
Instantané])</f>
        <v>0</v>
      </c>
      <c r="C8" s="60">
        <f>SUMIF(tabSuiviConso[Mois Année],Tableau7913[[#This Row],[Mois]]&amp;"/"&amp;Tableau7913[[#Headers],[2022]],tabSuiviConso[Conso HP + HC / jour_x000D_
Instantané])</f>
        <v>0</v>
      </c>
      <c r="D8" s="60">
        <f>SUMIF(tabSuiviConso[Mois Année],Tableau7913[[#This Row],[Mois]]&amp;"/"&amp;Tableau7913[[#Headers],[2023]],tabSuiviConso[Conso HP + HC / jour_x000D_
Instantané])</f>
        <v>0</v>
      </c>
      <c r="E8" s="60">
        <f>SUMIF(tabSuiviConso[Mois Année],Tableau7913[[#This Row],[Mois]]&amp;"/"&amp;Tableau7913[[#Headers],[2024]],tabSuiviConso[Conso HP + HC / jour_x000D_
Instantané])</f>
        <v>0</v>
      </c>
    </row>
    <row r="9" spans="1:5" x14ac:dyDescent="0.2">
      <c r="A9" s="19">
        <v>8</v>
      </c>
      <c r="B9" s="60">
        <f>SUMIF(tabSuiviConso[Mois Année],Tableau7913[[#This Row],[Mois]]&amp;"/"&amp;Tableau7913[[#Headers],[2021]],tabSuiviConso[Conso HP + HC / jour_x000D_
Instantané])</f>
        <v>0</v>
      </c>
      <c r="C9" s="60">
        <f>SUMIF(tabSuiviConso[Mois Année],Tableau7913[[#This Row],[Mois]]&amp;"/"&amp;Tableau7913[[#Headers],[2022]],tabSuiviConso[Conso HP + HC / jour_x000D_
Instantané])</f>
        <v>0</v>
      </c>
      <c r="D9" s="60">
        <f>SUMIF(tabSuiviConso[Mois Année],Tableau7913[[#This Row],[Mois]]&amp;"/"&amp;Tableau7913[[#Headers],[2023]],tabSuiviConso[Conso HP + HC / jour_x000D_
Instantané])</f>
        <v>0</v>
      </c>
      <c r="E9" s="60">
        <f>SUMIF(tabSuiviConso[Mois Année],Tableau7913[[#This Row],[Mois]]&amp;"/"&amp;Tableau7913[[#Headers],[2024]],tabSuiviConso[Conso HP + HC / jour_x000D_
Instantané])</f>
        <v>0</v>
      </c>
    </row>
    <row r="10" spans="1:5" x14ac:dyDescent="0.2">
      <c r="A10" s="19">
        <v>9</v>
      </c>
      <c r="B10" s="60">
        <f>SUMIF(tabSuiviConso[Mois Année],Tableau7913[[#This Row],[Mois]]&amp;"/"&amp;Tableau7913[[#Headers],[2021]],tabSuiviConso[Conso HP + HC / jour_x000D_
Instantané])</f>
        <v>0</v>
      </c>
      <c r="C10" s="60">
        <f>SUMIF(tabSuiviConso[Mois Année],Tableau7913[[#This Row],[Mois]]&amp;"/"&amp;Tableau7913[[#Headers],[2022]],tabSuiviConso[Conso HP + HC / jour_x000D_
Instantané])</f>
        <v>0</v>
      </c>
      <c r="D10" s="60">
        <f>SUMIF(tabSuiviConso[Mois Année],Tableau7913[[#This Row],[Mois]]&amp;"/"&amp;Tableau7913[[#Headers],[2023]],tabSuiviConso[Conso HP + HC / jour_x000D_
Instantané])</f>
        <v>0</v>
      </c>
      <c r="E10" s="60">
        <f>SUMIF(tabSuiviConso[Mois Année],Tableau7913[[#This Row],[Mois]]&amp;"/"&amp;Tableau7913[[#Headers],[2024]],tabSuiviConso[Conso HP + HC / jour_x000D_
Instantané])</f>
        <v>0</v>
      </c>
    </row>
    <row r="11" spans="1:5" x14ac:dyDescent="0.2">
      <c r="A11" s="19">
        <v>10</v>
      </c>
      <c r="B11" s="60">
        <f>SUMIF(tabSuiviConso[Mois Année],Tableau7913[[#This Row],[Mois]]&amp;"/"&amp;Tableau7913[[#Headers],[2021]],tabSuiviConso[Conso HP + HC / jour_x000D_
Instantané])</f>
        <v>0</v>
      </c>
      <c r="C11" s="60">
        <f>SUMIF(tabSuiviConso[Mois Année],Tableau7913[[#This Row],[Mois]]&amp;"/"&amp;Tableau7913[[#Headers],[2022]],tabSuiviConso[Conso HP + HC / jour_x000D_
Instantané])</f>
        <v>0</v>
      </c>
      <c r="D11" s="60">
        <f>SUMIF(tabSuiviConso[Mois Année],Tableau7913[[#This Row],[Mois]]&amp;"/"&amp;Tableau7913[[#Headers],[2023]],tabSuiviConso[Conso HP + HC / jour_x000D_
Instantané])</f>
        <v>0</v>
      </c>
      <c r="E11" s="60">
        <f>SUMIF(tabSuiviConso[Mois Année],Tableau7913[[#This Row],[Mois]]&amp;"/"&amp;Tableau7913[[#Headers],[2024]],tabSuiviConso[Conso HP + HC / jour_x000D_
Instantané])</f>
        <v>0</v>
      </c>
    </row>
    <row r="12" spans="1:5" x14ac:dyDescent="0.2">
      <c r="A12" s="19">
        <v>11</v>
      </c>
      <c r="B12" s="60">
        <f>SUMIF(tabSuiviConso[Mois Année],Tableau7913[[#This Row],[Mois]]&amp;"/"&amp;Tableau7913[[#Headers],[2021]],tabSuiviConso[Conso HP + HC / jour_x000D_
Instantané])</f>
        <v>0</v>
      </c>
      <c r="C12" s="60">
        <f>SUMIF(tabSuiviConso[Mois Année],Tableau7913[[#This Row],[Mois]]&amp;"/"&amp;Tableau7913[[#Headers],[2022]],tabSuiviConso[Conso HP + HC / jour_x000D_
Instantané])</f>
        <v>0</v>
      </c>
      <c r="D12" s="60">
        <f>SUMIF(tabSuiviConso[Mois Année],Tableau7913[[#This Row],[Mois]]&amp;"/"&amp;Tableau7913[[#Headers],[2023]],tabSuiviConso[Conso HP + HC / jour_x000D_
Instantané])</f>
        <v>0</v>
      </c>
      <c r="E12" s="60">
        <f>SUMIF(tabSuiviConso[Mois Année],Tableau7913[[#This Row],[Mois]]&amp;"/"&amp;Tableau7913[[#Headers],[2024]],tabSuiviConso[Conso HP + HC / jour_x000D_
Instantané])</f>
        <v>0</v>
      </c>
    </row>
    <row r="13" spans="1:5" x14ac:dyDescent="0.2">
      <c r="A13" s="19">
        <v>12</v>
      </c>
      <c r="B13" s="60">
        <f>SUMIF(tabSuiviConso[Mois Année],Tableau7913[[#This Row],[Mois]]&amp;"/"&amp;Tableau7913[[#Headers],[2021]],tabSuiviConso[Conso HP + HC / jour_x000D_
Instantané])</f>
        <v>0</v>
      </c>
      <c r="C13" s="60">
        <f>SUMIF(tabSuiviConso[Mois Année],Tableau7913[[#This Row],[Mois]]&amp;"/"&amp;Tableau7913[[#Headers],[2022]],tabSuiviConso[Conso HP + HC / jour_x000D_
Instantané])</f>
        <v>0</v>
      </c>
      <c r="D13" s="60">
        <f>SUMIF(tabSuiviConso[Mois Année],Tableau7913[[#This Row],[Mois]]&amp;"/"&amp;Tableau7913[[#Headers],[2023]],tabSuiviConso[Conso HP + HC / jour_x000D_
Instantané])</f>
        <v>0</v>
      </c>
      <c r="E13" s="60" t="e">
        <f>SUMIF(tabSuiviConso[Mois Année],Tableau7913[[#This Row],[Mois]]&amp;"/"&amp;Tableau7913[[#Headers],[2024]],tabSuiviConso[Conso HP + HC / jour_x000D_
Instantané])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3"/>
  <sheetViews>
    <sheetView showGridLines="0" showRowColHeaders="0" zoomScaleNormal="100" workbookViewId="0">
      <selection activeCell="D13" sqref="D13"/>
    </sheetView>
  </sheetViews>
  <sheetFormatPr baseColWidth="10" defaultRowHeight="11.25" x14ac:dyDescent="0.2"/>
  <cols>
    <col min="1" max="1" width="10" style="19" bestFit="1" customWidth="1"/>
    <col min="2" max="3" width="17.28515625" style="19" bestFit="1" customWidth="1"/>
    <col min="4" max="4" width="17.42578125" style="19" bestFit="1" customWidth="1"/>
    <col min="5" max="5" width="17.42578125" style="19" customWidth="1"/>
    <col min="6" max="6" width="18.85546875" style="19" bestFit="1" customWidth="1"/>
    <col min="7" max="16384" width="11.42578125" style="19"/>
  </cols>
  <sheetData>
    <row r="1" spans="1:6" ht="22.5" x14ac:dyDescent="0.2">
      <c r="A1" s="19" t="s">
        <v>9</v>
      </c>
      <c r="B1" s="44" t="s">
        <v>107</v>
      </c>
      <c r="C1" s="44" t="s">
        <v>104</v>
      </c>
      <c r="D1" s="44" t="s">
        <v>105</v>
      </c>
      <c r="E1" s="44" t="s">
        <v>108</v>
      </c>
      <c r="F1" s="44" t="s">
        <v>106</v>
      </c>
    </row>
    <row r="2" spans="1:6" x14ac:dyDescent="0.2">
      <c r="A2" s="19">
        <v>2021</v>
      </c>
      <c r="B2" s="19">
        <f t="array" ref="B2">MIN(IF(tabSuiviConso[Année]=Tableau7910[[#This Row],[Année]],tabSuiviConso[Min]))</f>
        <v>0</v>
      </c>
      <c r="C2" s="61" t="e">
        <f>AVERAGEIF(tabSuiviConso[Année],Tableau7910[[#This Row],[Année]],tabSuiviConso[Min])</f>
        <v>#DIV/0!</v>
      </c>
      <c r="D2" s="62" t="e">
        <f>AVERAGEIF(tabSuiviConso[Année],Tableau7910[[#This Row],[Année]],tabSuiviConso[Max])</f>
        <v>#DIV/0!</v>
      </c>
      <c r="E2" s="62">
        <f t="array" ref="E2">MAX(IF(tabSuiviConso[Année]=Tableau7910[[#This Row],[Année]],tabSuiviConso[Max]))</f>
        <v>0</v>
      </c>
      <c r="F2" s="61" t="e">
        <f>AVERAGEIF(tabSuiviConso[Année],Tableau7910[[#This Row],[Année]],tabSuiviConso[Conso HP + HC / jour_x000D_
Instantané])</f>
        <v>#DIV/0!</v>
      </c>
    </row>
    <row r="3" spans="1:6" x14ac:dyDescent="0.2">
      <c r="A3" s="19">
        <v>2022</v>
      </c>
      <c r="B3" s="19">
        <f t="array" ref="B3">MIN(IF(tabSuiviConso[Année]=Tableau7910[[#This Row],[Année]],tabSuiviConso[Min]))</f>
        <v>0</v>
      </c>
      <c r="C3" s="61" t="e">
        <f>AVERAGEIF(tabSuiviConso[Année],Tableau7910[[#This Row],[Année]],tabSuiviConso[Min])</f>
        <v>#DIV/0!</v>
      </c>
      <c r="D3" s="62" t="e">
        <f>AVERAGEIF(tabSuiviConso[Année],Tableau7910[[#This Row],[Année]],tabSuiviConso[Max])</f>
        <v>#DIV/0!</v>
      </c>
      <c r="E3" s="62">
        <f t="array" ref="E3">MAX(IF(tabSuiviConso[Année]=Tableau7910[[#This Row],[Année]],tabSuiviConso[Max]))</f>
        <v>0</v>
      </c>
      <c r="F3" s="61" t="e">
        <f>AVERAGEIF(tabSuiviConso[Année],Tableau7910[[#This Row],[Année]],tabSuiviConso[Conso HP + HC / jour_x000D_
Instantané])</f>
        <v>#DIV/0!</v>
      </c>
    </row>
    <row r="4" spans="1:6" x14ac:dyDescent="0.2">
      <c r="A4" s="19">
        <v>2023</v>
      </c>
      <c r="B4" s="19">
        <f t="array" ref="B4">MIN(IF(tabSuiviConso[Année]=Tableau7910[[#This Row],[Année]],tabSuiviConso[Min]))</f>
        <v>0</v>
      </c>
      <c r="C4" s="61" t="e">
        <f>AVERAGEIF(tabSuiviConso[Année],Tableau7910[[#This Row],[Année]],tabSuiviConso[Min])</f>
        <v>#DIV/0!</v>
      </c>
      <c r="D4" s="62" t="e">
        <f>AVERAGEIF(tabSuiviConso[Année],Tableau7910[[#This Row],[Année]],tabSuiviConso[Max])</f>
        <v>#DIV/0!</v>
      </c>
      <c r="E4" s="62">
        <f t="array" ref="E4">MAX(IF(tabSuiviConso[Année]=Tableau7910[[#This Row],[Année]],tabSuiviConso[Max]))</f>
        <v>0</v>
      </c>
      <c r="F4" s="61" t="e">
        <f>AVERAGEIF(tabSuiviConso[Année],Tableau7910[[#This Row],[Année]],tabSuiviConso[Conso HP + HC / jour_x000D_
Instantané])</f>
        <v>#DIV/0!</v>
      </c>
    </row>
    <row r="5" spans="1:6" x14ac:dyDescent="0.2">
      <c r="A5" s="19">
        <v>2024</v>
      </c>
      <c r="B5" s="19">
        <f t="array" ref="B5">MIN(IF(tabSuiviConso[Année]=Tableau7910[[#This Row],[Année]],tabSuiviConso[Min]))</f>
        <v>-0.7</v>
      </c>
      <c r="C5" s="61">
        <f>AVERAGEIF(tabSuiviConso[Année],Tableau7910[[#This Row],[Année]],tabSuiviConso[Min])</f>
        <v>2.6583333333333337</v>
      </c>
      <c r="D5" s="62">
        <f>AVERAGEIF(tabSuiviConso[Année],Tableau7910[[#This Row],[Année]],tabSuiviConso[Max])</f>
        <v>8.9000000000000021</v>
      </c>
      <c r="E5" s="62">
        <f t="array" ref="E5">MAX(IF(tabSuiviConso[Année]=Tableau7910[[#This Row],[Année]],tabSuiviConso[Max]))</f>
        <v>13.9</v>
      </c>
      <c r="F5" s="61" t="e">
        <f>AVERAGEIF(tabSuiviConso[Année],Tableau7910[[#This Row],[Année]],tabSuiviConso[Conso HP + HC / jour_x000D_
Instantané])</f>
        <v>#VALUE!</v>
      </c>
    </row>
    <row r="6" spans="1:6" x14ac:dyDescent="0.2">
      <c r="F6" s="60"/>
    </row>
    <row r="7" spans="1:6" x14ac:dyDescent="0.2">
      <c r="F7" s="60"/>
    </row>
    <row r="8" spans="1:6" x14ac:dyDescent="0.2">
      <c r="F8" s="60"/>
    </row>
    <row r="9" spans="1:6" x14ac:dyDescent="0.2">
      <c r="F9" s="60"/>
    </row>
    <row r="10" spans="1:6" x14ac:dyDescent="0.2">
      <c r="F10" s="60"/>
    </row>
    <row r="11" spans="1:6" x14ac:dyDescent="0.2">
      <c r="F11" s="60"/>
    </row>
    <row r="12" spans="1:6" x14ac:dyDescent="0.2">
      <c r="F12" s="60"/>
    </row>
    <row r="13" spans="1:6" x14ac:dyDescent="0.2">
      <c r="F13" s="60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Suivi Conso New</vt:lpstr>
      <vt:lpstr>Suivi Factures</vt:lpstr>
      <vt:lpstr>Ecart annuel</vt:lpstr>
      <vt:lpstr>Ecart annuel 2</vt:lpstr>
      <vt:lpstr>MinMax HpHc cumul</vt:lpstr>
      <vt:lpstr>MinMax HpHc instantannées</vt:lpstr>
      <vt:lpstr>MinMax HpHc par heure instanta</vt:lpstr>
      <vt:lpstr>Cumul par année</vt:lpstr>
      <vt:lpstr>Moyenne par jour semaine</vt:lpstr>
      <vt:lpstr>Compare jour mois en cours</vt:lpstr>
      <vt:lpstr>Compare jour mois en cours 2</vt:lpstr>
      <vt:lpstr>Moy par mois</vt:lpstr>
      <vt:lpstr>Compare moy mois</vt:lpstr>
      <vt:lpstr>Total par année mois - inst</vt:lpstr>
      <vt:lpstr>Total par année mois</vt:lpstr>
      <vt:lpstr>Moy par année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2025-01-12T09:48:23Z</dcterms:modified>
</cp:coreProperties>
</file>